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3.xml" ContentType="application/vnd.openxmlformats-officedocument.drawing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spetkidou\Desktop\"/>
    </mc:Choice>
  </mc:AlternateContent>
  <xr:revisionPtr revIDLastSave="6619" documentId="13_ncr:1_{51B7FAA0-EEB2-4499-B67F-DAA3882ACBE3}" xr6:coauthVersionLast="47" xr6:coauthVersionMax="47" xr10:uidLastSave="{8EFD2F08-CA46-4A30-A85D-35A75EFF775E}"/>
  <bookViews>
    <workbookView xWindow="-28920" yWindow="1305" windowWidth="29040" windowHeight="15840" firstSheet="6" activeTab="9" xr2:uid="{00000000-000D-0000-FFFF-FFFF00000000}"/>
  </bookViews>
  <sheets>
    <sheet name="Portfolio Board" sheetId="3" r:id="rId1"/>
    <sheet name="Helpful Boards" sheetId="4" r:id="rId2"/>
    <sheet name="Sub Sector Weight" sheetId="6" r:id="rId3"/>
    <sheet name="Monthly Prices (Euro)" sheetId="7" r:id="rId4"/>
    <sheet name="Monthly Returns" sheetId="8" r:id="rId5"/>
    <sheet name="Drifted Weights" sheetId="11" r:id="rId6"/>
    <sheet name="Monthly Portfolio Return" sheetId="10" r:id="rId7"/>
    <sheet name="Cumulative &amp; Rebalancing Chart" sheetId="12" r:id="rId8"/>
    <sheet name="Pivot Tables" sheetId="16" r:id="rId9"/>
    <sheet name="Regration Analysis" sheetId="17" r:id="rId10"/>
  </sheets>
  <definedNames>
    <definedName name="_xlnm._FilterDatabase" localSheetId="0" hidden="1">'Portfolio Board'!$B$1:$T$601</definedName>
    <definedName name="_xlnm._FilterDatabase" localSheetId="6" hidden="1">'Monthly Portfolio Return'!$BM$3:$BN$3</definedName>
  </definedNames>
  <calcPr calcId="191028"/>
  <pivotCaches>
    <pivotCache cacheId="1006" r:id="rId11"/>
    <pivotCache cacheId="1007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D32" i="10" l="1"/>
  <c r="Y12" i="3"/>
  <c r="Y11" i="3"/>
  <c r="Y9" i="3"/>
  <c r="Q9" i="12"/>
  <c r="I3" i="11" a="1"/>
  <c r="I3" i="11"/>
  <c r="I4" i="11" a="1"/>
  <c r="I4" i="11"/>
  <c r="I5" i="11" a="1"/>
  <c r="I5" i="11"/>
  <c r="I6" i="11" a="1"/>
  <c r="I6" i="11"/>
  <c r="I7" i="11" a="1"/>
  <c r="I7" i="11"/>
  <c r="I8" i="11" a="1"/>
  <c r="I8" i="11"/>
  <c r="I9" i="11" a="1"/>
  <c r="I9" i="11"/>
  <c r="I10" i="11" a="1"/>
  <c r="I10" i="11"/>
  <c r="I11" i="11" a="1"/>
  <c r="I11" i="11"/>
  <c r="I12" i="11" a="1"/>
  <c r="I12" i="11"/>
  <c r="I13" i="11" a="1"/>
  <c r="I13" i="11"/>
  <c r="I14" i="11" a="1"/>
  <c r="I14" i="11"/>
  <c r="I15" i="11" a="1"/>
  <c r="I15" i="11"/>
  <c r="I16" i="11" a="1"/>
  <c r="I16" i="11"/>
  <c r="I17" i="11" a="1"/>
  <c r="I17" i="11"/>
  <c r="I18" i="11" a="1"/>
  <c r="I18" i="11"/>
  <c r="I19" i="11" a="1"/>
  <c r="I19" i="11"/>
  <c r="I20" i="11" a="1"/>
  <c r="I20" i="11"/>
  <c r="I21" i="11" a="1"/>
  <c r="I21" i="11"/>
  <c r="I22" i="11" a="1"/>
  <c r="I22" i="11"/>
  <c r="I23" i="11" a="1"/>
  <c r="I23" i="11"/>
  <c r="I24" i="11" a="1"/>
  <c r="I24" i="11"/>
  <c r="I25" i="11" a="1"/>
  <c r="I25" i="11"/>
  <c r="I26" i="11" a="1"/>
  <c r="I26" i="11"/>
  <c r="I27" i="11" a="1"/>
  <c r="I27" i="11"/>
  <c r="I28" i="11" a="1"/>
  <c r="I28" i="11"/>
  <c r="I29" i="11" a="1"/>
  <c r="I29" i="11"/>
  <c r="I30" i="11" a="1"/>
  <c r="I30" i="11"/>
  <c r="I31" i="11" a="1"/>
  <c r="I31" i="11"/>
  <c r="I32" i="11" a="1"/>
  <c r="I32" i="11"/>
  <c r="I33" i="11" a="1"/>
  <c r="I33" i="11"/>
  <c r="I34" i="11" a="1"/>
  <c r="I34" i="11"/>
  <c r="I35" i="11" a="1"/>
  <c r="I35" i="11"/>
  <c r="I36" i="11" a="1"/>
  <c r="I36" i="11"/>
  <c r="I37" i="11" a="1"/>
  <c r="I37" i="11"/>
  <c r="I38" i="11" a="1"/>
  <c r="I38" i="11"/>
  <c r="I39" i="11" a="1"/>
  <c r="I39" i="11"/>
  <c r="I40" i="11" a="1"/>
  <c r="I40" i="11"/>
  <c r="I41" i="11" a="1"/>
  <c r="I41" i="11"/>
  <c r="I42" i="11" a="1"/>
  <c r="I42" i="11"/>
  <c r="I43" i="11" a="1"/>
  <c r="I43" i="11"/>
  <c r="I44" i="11" a="1"/>
  <c r="I44" i="11"/>
  <c r="I45" i="11" a="1"/>
  <c r="I45" i="11"/>
  <c r="I46" i="11" a="1"/>
  <c r="I46" i="11"/>
  <c r="I47" i="11" a="1"/>
  <c r="I47" i="11"/>
  <c r="I48" i="11" a="1"/>
  <c r="I48" i="11"/>
  <c r="I49" i="11" a="1"/>
  <c r="I49" i="11"/>
  <c r="T48" i="10"/>
  <c r="O48" i="10"/>
  <c r="H48" i="10"/>
  <c r="C48" i="10"/>
  <c r="H49" i="10"/>
  <c r="C49" i="10"/>
  <c r="Y21" i="3"/>
  <c r="AI49" i="3"/>
  <c r="O43" i="10"/>
  <c r="T43" i="10"/>
  <c r="AA43" i="10"/>
  <c r="AF43" i="10"/>
  <c r="AM43" i="10"/>
  <c r="AR43" i="10"/>
  <c r="AY43" i="10"/>
  <c r="BD43" i="10"/>
  <c r="C43" i="10"/>
  <c r="C42" i="10"/>
  <c r="C44" i="10"/>
  <c r="C41" i="10"/>
  <c r="AZ43" i="11" a="1"/>
  <c r="AZ43" i="11" s="1"/>
  <c r="AZ43" i="10" s="1"/>
  <c r="AS43" i="11" a="1"/>
  <c r="AS43" i="11" s="1"/>
  <c r="AS43" i="10" s="1"/>
  <c r="AN43" i="11" a="1"/>
  <c r="AN43" i="11" s="1"/>
  <c r="AN43" i="10" s="1"/>
  <c r="AG43" i="11" a="1"/>
  <c r="AG43" i="11" s="1"/>
  <c r="AG43" i="10" s="1"/>
  <c r="AB43" i="11" a="1"/>
  <c r="AB43" i="11" s="1"/>
  <c r="AB43" i="10" s="1"/>
  <c r="U43" i="11" a="1"/>
  <c r="U43" i="11" s="1"/>
  <c r="U43" i="10" s="1"/>
  <c r="P43" i="11" a="1"/>
  <c r="P43" i="11" s="1"/>
  <c r="P43" i="10" s="1"/>
  <c r="D43" i="11" a="1"/>
  <c r="D43" i="11"/>
  <c r="D43" i="10" s="1"/>
  <c r="D42" i="11" a="1"/>
  <c r="D42" i="11"/>
  <c r="D42" i="10" s="1"/>
  <c r="D41" i="11" a="1"/>
  <c r="D41" i="11"/>
  <c r="D2" i="11" a="1"/>
  <c r="D2" i="11"/>
  <c r="Y15" i="3"/>
  <c r="M47" i="6"/>
  <c r="M50" i="6"/>
  <c r="M51" i="6"/>
  <c r="M40" i="6"/>
  <c r="M3" i="6"/>
  <c r="M43" i="6"/>
  <c r="AI43" i="3"/>
  <c r="AI42" i="3"/>
  <c r="B9" i="12"/>
  <c r="X2" i="3" a="1"/>
  <c r="X2" i="3"/>
  <c r="X22" i="3" a="1"/>
  <c r="X22" i="3"/>
  <c r="X21" i="3" a="1"/>
  <c r="X21" i="3"/>
  <c r="X20" i="3" a="1"/>
  <c r="X20" i="3"/>
  <c r="X19" i="3" a="1"/>
  <c r="X19" i="3"/>
  <c r="X18" i="3" a="1"/>
  <c r="X18" i="3"/>
  <c r="X17" i="3" a="1"/>
  <c r="X17" i="3"/>
  <c r="X15" i="3" a="1"/>
  <c r="X15" i="3"/>
  <c r="X14" i="3" a="1"/>
  <c r="X14" i="3"/>
  <c r="X13" i="3" a="1"/>
  <c r="X13" i="3"/>
  <c r="X12" i="3" a="1"/>
  <c r="X12" i="3"/>
  <c r="X11" i="3" a="1"/>
  <c r="X11" i="3"/>
  <c r="X10" i="3" a="1"/>
  <c r="X10" i="3"/>
  <c r="X9" i="3" a="1"/>
  <c r="X9" i="3"/>
  <c r="X8" i="3" a="1"/>
  <c r="X8" i="3"/>
  <c r="X7" i="3" a="1"/>
  <c r="X7" i="3"/>
  <c r="X6" i="3" a="1"/>
  <c r="X6" i="3"/>
  <c r="X5" i="3" a="1"/>
  <c r="X5" i="3"/>
  <c r="X4" i="3" a="1"/>
  <c r="X4" i="3"/>
  <c r="X3" i="3" a="1"/>
  <c r="X3" i="3"/>
  <c r="D2" i="10"/>
  <c r="C2" i="10"/>
  <c r="AF2" i="10"/>
  <c r="AI8" i="3"/>
  <c r="AI2" i="3"/>
  <c r="Y2" i="3"/>
  <c r="W2" i="3" a="1"/>
  <c r="W2" i="3"/>
  <c r="V2" i="3" a="1"/>
  <c r="V2" i="3"/>
  <c r="D3" i="11" a="1"/>
  <c r="D3" i="11"/>
  <c r="AF9" i="12"/>
  <c r="AG9" i="12"/>
  <c r="AH9" i="12"/>
  <c r="AI9" i="12"/>
  <c r="AJ9" i="12"/>
  <c r="AK9" i="12"/>
  <c r="AL9" i="12"/>
  <c r="AM9" i="12"/>
  <c r="AN9" i="12"/>
  <c r="AO9" i="12"/>
  <c r="AP9" i="12"/>
  <c r="AQ9" i="12"/>
  <c r="AR9" i="12"/>
  <c r="AS9" i="12"/>
  <c r="AT9" i="12"/>
  <c r="AU9" i="12"/>
  <c r="AV9" i="12"/>
  <c r="AW9" i="12"/>
  <c r="AX9" i="12"/>
  <c r="AY9" i="12"/>
  <c r="AZ9" i="12"/>
  <c r="BA9" i="12"/>
  <c r="BB9" i="12"/>
  <c r="BC9" i="12"/>
  <c r="C9" i="12"/>
  <c r="D9" i="12"/>
  <c r="E9" i="12"/>
  <c r="F9" i="12"/>
  <c r="G9" i="12"/>
  <c r="H9" i="12"/>
  <c r="I9" i="12"/>
  <c r="J9" i="12"/>
  <c r="K9" i="12"/>
  <c r="L9" i="12"/>
  <c r="M9" i="12"/>
  <c r="N9" i="12"/>
  <c r="O9" i="12"/>
  <c r="P9" i="12"/>
  <c r="R9" i="12"/>
  <c r="S9" i="12"/>
  <c r="T9" i="12"/>
  <c r="U9" i="12"/>
  <c r="V9" i="12"/>
  <c r="W9" i="12"/>
  <c r="X9" i="12"/>
  <c r="Y9" i="12"/>
  <c r="Z9" i="12"/>
  <c r="AA9" i="12"/>
  <c r="AB9" i="12"/>
  <c r="AC9" i="12"/>
  <c r="AD9" i="12"/>
  <c r="AE9" i="12"/>
  <c r="H54" i="10"/>
  <c r="C54" i="10"/>
  <c r="G54" i="10"/>
  <c r="D54" i="10"/>
  <c r="AY54" i="10"/>
  <c r="BD54" i="10"/>
  <c r="E54" i="10"/>
  <c r="F54" i="10"/>
  <c r="I54" i="10"/>
  <c r="J54" i="10"/>
  <c r="K54" i="10"/>
  <c r="L54" i="10"/>
  <c r="M54" i="10"/>
  <c r="N54" i="10"/>
  <c r="O54" i="10"/>
  <c r="P54" i="10"/>
  <c r="Q54" i="10"/>
  <c r="R54" i="10"/>
  <c r="S54" i="10"/>
  <c r="T54" i="10"/>
  <c r="U54" i="10"/>
  <c r="V54" i="10"/>
  <c r="W54" i="10"/>
  <c r="X54" i="10"/>
  <c r="Y54" i="10"/>
  <c r="Z54" i="10"/>
  <c r="AA54" i="10"/>
  <c r="AB54" i="10"/>
  <c r="AC54" i="10"/>
  <c r="AD54" i="10"/>
  <c r="AE54" i="10"/>
  <c r="AF54" i="10"/>
  <c r="AG54" i="10"/>
  <c r="AH54" i="10"/>
  <c r="AI54" i="10"/>
  <c r="AJ54" i="10"/>
  <c r="AK54" i="10"/>
  <c r="AL54" i="10"/>
  <c r="AM54" i="10"/>
  <c r="AN54" i="10"/>
  <c r="AO54" i="10"/>
  <c r="AP54" i="10"/>
  <c r="AQ54" i="10"/>
  <c r="AR54" i="10"/>
  <c r="AS54" i="10"/>
  <c r="AT54" i="10"/>
  <c r="AU54" i="10"/>
  <c r="AV54" i="10"/>
  <c r="AW54" i="10"/>
  <c r="AX54" i="10"/>
  <c r="AZ54" i="10"/>
  <c r="BA54" i="10"/>
  <c r="BB54" i="10"/>
  <c r="BC54" i="10"/>
  <c r="BD2" i="10"/>
  <c r="O3" i="10"/>
  <c r="T3" i="10"/>
  <c r="AA3" i="10"/>
  <c r="AF3" i="10"/>
  <c r="AM3" i="10"/>
  <c r="AR3" i="10"/>
  <c r="AY3" i="10"/>
  <c r="BD3" i="10"/>
  <c r="O4" i="10"/>
  <c r="T4" i="10"/>
  <c r="AA4" i="10"/>
  <c r="AF4" i="10"/>
  <c r="AM4" i="10"/>
  <c r="AR4" i="10"/>
  <c r="AY4" i="10"/>
  <c r="BD4" i="10"/>
  <c r="O5" i="10"/>
  <c r="T5" i="10"/>
  <c r="AA5" i="10"/>
  <c r="AF5" i="10"/>
  <c r="AM5" i="10"/>
  <c r="AR5" i="10"/>
  <c r="AY5" i="10"/>
  <c r="BD5" i="10"/>
  <c r="O6" i="10"/>
  <c r="T6" i="10"/>
  <c r="AA6" i="10"/>
  <c r="AF6" i="10"/>
  <c r="AM6" i="10"/>
  <c r="AR6" i="10"/>
  <c r="AY6" i="10"/>
  <c r="BD6" i="10"/>
  <c r="O7" i="10"/>
  <c r="T7" i="10"/>
  <c r="AA7" i="10"/>
  <c r="AF7" i="10"/>
  <c r="AM7" i="10"/>
  <c r="AR7" i="10"/>
  <c r="AY7" i="10"/>
  <c r="BD7" i="10"/>
  <c r="O8" i="10"/>
  <c r="T8" i="10"/>
  <c r="AA8" i="10"/>
  <c r="AF8" i="10"/>
  <c r="AM8" i="10"/>
  <c r="AR8" i="10"/>
  <c r="AY8" i="10"/>
  <c r="BD8" i="10"/>
  <c r="O9" i="10"/>
  <c r="T9" i="10"/>
  <c r="AA9" i="10"/>
  <c r="AF9" i="10"/>
  <c r="AM9" i="10"/>
  <c r="AR9" i="10"/>
  <c r="AY9" i="10"/>
  <c r="BD9" i="10"/>
  <c r="O10" i="10"/>
  <c r="T10" i="10"/>
  <c r="AA10" i="10"/>
  <c r="AF10" i="10"/>
  <c r="AM10" i="10"/>
  <c r="AR10" i="10"/>
  <c r="AY10" i="10"/>
  <c r="BD10" i="10"/>
  <c r="O11" i="10"/>
  <c r="T11" i="10"/>
  <c r="AA11" i="10"/>
  <c r="AF11" i="10"/>
  <c r="AM11" i="10"/>
  <c r="AR11" i="10"/>
  <c r="AY11" i="10"/>
  <c r="BD11" i="10"/>
  <c r="O12" i="10"/>
  <c r="T12" i="10"/>
  <c r="AA12" i="10"/>
  <c r="AF12" i="10"/>
  <c r="AM12" i="10"/>
  <c r="AR12" i="10"/>
  <c r="AY12" i="10"/>
  <c r="BD12" i="10"/>
  <c r="O13" i="10"/>
  <c r="T13" i="10"/>
  <c r="AA13" i="10"/>
  <c r="AF13" i="10"/>
  <c r="AM13" i="10"/>
  <c r="AR13" i="10"/>
  <c r="AY13" i="10"/>
  <c r="BD13" i="10"/>
  <c r="O14" i="10"/>
  <c r="T14" i="10"/>
  <c r="AA14" i="10"/>
  <c r="AF14" i="10"/>
  <c r="AM14" i="10"/>
  <c r="AR14" i="10"/>
  <c r="AY14" i="10"/>
  <c r="BD14" i="10"/>
  <c r="O15" i="10"/>
  <c r="T15" i="10"/>
  <c r="AA15" i="10"/>
  <c r="AF15" i="10"/>
  <c r="AM15" i="10"/>
  <c r="AR15" i="10"/>
  <c r="AY15" i="10"/>
  <c r="BD15" i="10"/>
  <c r="O16" i="10"/>
  <c r="T16" i="10"/>
  <c r="AA16" i="10"/>
  <c r="AF16" i="10"/>
  <c r="AM16" i="10"/>
  <c r="AR16" i="10"/>
  <c r="AY16" i="10"/>
  <c r="BD16" i="10"/>
  <c r="O17" i="10"/>
  <c r="T17" i="10"/>
  <c r="AA17" i="10"/>
  <c r="AF17" i="10"/>
  <c r="AM17" i="10"/>
  <c r="AR17" i="10"/>
  <c r="AY17" i="10"/>
  <c r="BD17" i="10"/>
  <c r="O18" i="10"/>
  <c r="T18" i="10"/>
  <c r="AA18" i="10"/>
  <c r="AF18" i="10"/>
  <c r="AM18" i="10"/>
  <c r="AR18" i="10"/>
  <c r="AY18" i="10"/>
  <c r="BD18" i="10"/>
  <c r="O19" i="10"/>
  <c r="T19" i="10"/>
  <c r="AA19" i="10"/>
  <c r="AF19" i="10"/>
  <c r="AM19" i="10"/>
  <c r="AR19" i="10"/>
  <c r="AY19" i="10"/>
  <c r="BD19" i="10"/>
  <c r="O20" i="10"/>
  <c r="T20" i="10"/>
  <c r="AA20" i="10"/>
  <c r="AF20" i="10"/>
  <c r="AM20" i="10"/>
  <c r="AR20" i="10"/>
  <c r="AY20" i="10"/>
  <c r="BD20" i="10"/>
  <c r="O21" i="10"/>
  <c r="T21" i="10"/>
  <c r="AA21" i="10"/>
  <c r="AF21" i="10"/>
  <c r="AM21" i="10"/>
  <c r="AR21" i="10"/>
  <c r="AY21" i="10"/>
  <c r="BD21" i="10"/>
  <c r="O22" i="10"/>
  <c r="T22" i="10"/>
  <c r="AA22" i="10"/>
  <c r="AF22" i="10"/>
  <c r="AM22" i="10"/>
  <c r="AR22" i="10"/>
  <c r="AY22" i="10"/>
  <c r="BD22" i="10"/>
  <c r="O23" i="10"/>
  <c r="T23" i="10"/>
  <c r="AA23" i="10"/>
  <c r="AF23" i="10"/>
  <c r="AM23" i="10"/>
  <c r="AR23" i="10"/>
  <c r="AY23" i="10"/>
  <c r="BD23" i="10"/>
  <c r="O24" i="10"/>
  <c r="T24" i="10"/>
  <c r="AA24" i="10"/>
  <c r="AF24" i="10"/>
  <c r="AM24" i="10"/>
  <c r="AR24" i="10"/>
  <c r="AY24" i="10"/>
  <c r="BD24" i="10"/>
  <c r="O25" i="10"/>
  <c r="T25" i="10"/>
  <c r="AA25" i="10"/>
  <c r="AF25" i="10"/>
  <c r="AM25" i="10"/>
  <c r="AR25" i="10"/>
  <c r="AY25" i="10"/>
  <c r="BD25" i="10"/>
  <c r="O26" i="10"/>
  <c r="T26" i="10"/>
  <c r="AA26" i="10"/>
  <c r="AF26" i="10"/>
  <c r="AM26" i="10"/>
  <c r="AR26" i="10"/>
  <c r="AY26" i="10"/>
  <c r="BD26" i="10"/>
  <c r="O27" i="10"/>
  <c r="T27" i="10"/>
  <c r="AA27" i="10"/>
  <c r="AF27" i="10"/>
  <c r="AM27" i="10"/>
  <c r="AR27" i="10"/>
  <c r="AY27" i="10"/>
  <c r="BD27" i="10"/>
  <c r="O28" i="10"/>
  <c r="T28" i="10"/>
  <c r="AA28" i="10"/>
  <c r="AF28" i="10"/>
  <c r="AM28" i="10"/>
  <c r="AR28" i="10"/>
  <c r="AY28" i="10"/>
  <c r="BD28" i="10"/>
  <c r="O29" i="10"/>
  <c r="T29" i="10"/>
  <c r="AA29" i="10"/>
  <c r="AF29" i="10"/>
  <c r="AM29" i="10"/>
  <c r="AR29" i="10"/>
  <c r="AY29" i="10"/>
  <c r="BD29" i="10"/>
  <c r="O30" i="10"/>
  <c r="T30" i="10"/>
  <c r="AA30" i="10"/>
  <c r="AF30" i="10"/>
  <c r="AM30" i="10"/>
  <c r="AR30" i="10"/>
  <c r="AY30" i="10"/>
  <c r="BD30" i="10"/>
  <c r="O31" i="10"/>
  <c r="T31" i="10"/>
  <c r="AA31" i="10"/>
  <c r="AF31" i="10"/>
  <c r="AM31" i="10"/>
  <c r="AR31" i="10"/>
  <c r="AY31" i="10"/>
  <c r="BD31" i="10"/>
  <c r="O32" i="10"/>
  <c r="T32" i="10"/>
  <c r="AA32" i="10"/>
  <c r="AF32" i="10"/>
  <c r="AM32" i="10"/>
  <c r="AR32" i="10"/>
  <c r="AY32" i="10"/>
  <c r="O33" i="10"/>
  <c r="T33" i="10"/>
  <c r="AA33" i="10"/>
  <c r="AF33" i="10"/>
  <c r="AM33" i="10"/>
  <c r="AR33" i="10"/>
  <c r="AY33" i="10"/>
  <c r="BD33" i="10"/>
  <c r="O34" i="10"/>
  <c r="T34" i="10"/>
  <c r="AA34" i="10"/>
  <c r="AF34" i="10"/>
  <c r="AM34" i="10"/>
  <c r="AR34" i="10"/>
  <c r="AY34" i="10"/>
  <c r="BD34" i="10"/>
  <c r="O35" i="10"/>
  <c r="T35" i="10"/>
  <c r="AA35" i="10"/>
  <c r="AF35" i="10"/>
  <c r="AM35" i="10"/>
  <c r="AR35" i="10"/>
  <c r="AY35" i="10"/>
  <c r="BD35" i="10"/>
  <c r="O36" i="10"/>
  <c r="T36" i="10"/>
  <c r="AA36" i="10"/>
  <c r="AF36" i="10"/>
  <c r="AM36" i="10"/>
  <c r="AR36" i="10"/>
  <c r="AY36" i="10"/>
  <c r="BD36" i="10"/>
  <c r="O37" i="10"/>
  <c r="T37" i="10"/>
  <c r="AA37" i="10"/>
  <c r="AF37" i="10"/>
  <c r="AM37" i="10"/>
  <c r="AR37" i="10"/>
  <c r="AY37" i="10"/>
  <c r="BD37" i="10"/>
  <c r="O38" i="10"/>
  <c r="T38" i="10"/>
  <c r="AA38" i="10"/>
  <c r="AF38" i="10"/>
  <c r="AM38" i="10"/>
  <c r="AR38" i="10"/>
  <c r="AY38" i="10"/>
  <c r="BD38" i="10"/>
  <c r="O39" i="10"/>
  <c r="T39" i="10"/>
  <c r="AA39" i="10"/>
  <c r="AF39" i="10"/>
  <c r="AM39" i="10"/>
  <c r="AR39" i="10"/>
  <c r="AY39" i="10"/>
  <c r="BD39" i="10"/>
  <c r="O40" i="10"/>
  <c r="T40" i="10"/>
  <c r="AA40" i="10"/>
  <c r="AF40" i="10"/>
  <c r="AM40" i="10"/>
  <c r="AR40" i="10"/>
  <c r="AY40" i="10"/>
  <c r="BD40" i="10"/>
  <c r="O41" i="10"/>
  <c r="T41" i="10"/>
  <c r="AA41" i="10"/>
  <c r="AF41" i="10"/>
  <c r="AM41" i="10"/>
  <c r="AR41" i="10"/>
  <c r="AY41" i="10"/>
  <c r="BD41" i="10"/>
  <c r="O42" i="10"/>
  <c r="T42" i="10"/>
  <c r="AA42" i="10"/>
  <c r="AF42" i="10"/>
  <c r="AM42" i="10"/>
  <c r="AR42" i="10"/>
  <c r="AY42" i="10"/>
  <c r="BD42" i="10"/>
  <c r="O44" i="10"/>
  <c r="T44" i="10"/>
  <c r="AA44" i="10"/>
  <c r="AF44" i="10"/>
  <c r="AM44" i="10"/>
  <c r="AR44" i="10"/>
  <c r="AY44" i="10"/>
  <c r="BD44" i="10"/>
  <c r="O45" i="10"/>
  <c r="T45" i="10"/>
  <c r="AA45" i="10"/>
  <c r="AF45" i="10"/>
  <c r="AM45" i="10"/>
  <c r="AR45" i="10"/>
  <c r="AY45" i="10"/>
  <c r="BD45" i="10"/>
  <c r="O46" i="10"/>
  <c r="T46" i="10"/>
  <c r="AA46" i="10"/>
  <c r="AF46" i="10"/>
  <c r="AM46" i="10"/>
  <c r="AR46" i="10"/>
  <c r="AY46" i="10"/>
  <c r="BD46" i="10"/>
  <c r="O47" i="10"/>
  <c r="T47" i="10"/>
  <c r="AA47" i="10"/>
  <c r="AF47" i="10"/>
  <c r="AM47" i="10"/>
  <c r="AR47" i="10"/>
  <c r="AY47" i="10"/>
  <c r="BD47" i="10"/>
  <c r="AA48" i="10"/>
  <c r="AF48" i="10"/>
  <c r="AM48" i="10"/>
  <c r="AR48" i="10"/>
  <c r="AY48" i="10"/>
  <c r="BD48" i="10"/>
  <c r="O49" i="10"/>
  <c r="T49" i="10"/>
  <c r="AA49" i="10"/>
  <c r="AF49" i="10"/>
  <c r="AM49" i="10"/>
  <c r="AR49" i="10"/>
  <c r="AY49" i="10"/>
  <c r="BD49" i="10"/>
  <c r="O2" i="10"/>
  <c r="T2" i="10"/>
  <c r="AA2" i="10"/>
  <c r="AM2" i="10"/>
  <c r="AR2" i="10"/>
  <c r="AY2" i="10"/>
  <c r="C3" i="10"/>
  <c r="C4" i="10"/>
  <c r="C5" i="10"/>
  <c r="C6" i="10"/>
  <c r="C7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45" i="10"/>
  <c r="C46" i="10"/>
  <c r="C47" i="10"/>
  <c r="AZ3" i="11" a="1"/>
  <c r="AZ3" i="11"/>
  <c r="AZ3" i="10" s="1"/>
  <c r="AZ4" i="11" a="1"/>
  <c r="AZ4" i="11"/>
  <c r="AZ4" i="10" s="1"/>
  <c r="AZ5" i="11" a="1"/>
  <c r="AZ5" i="11"/>
  <c r="AZ5" i="10" s="1"/>
  <c r="AZ6" i="11" a="1"/>
  <c r="AZ6" i="11"/>
  <c r="AZ6" i="10" s="1"/>
  <c r="AZ7" i="11" a="1"/>
  <c r="AZ7" i="11"/>
  <c r="AZ7" i="10" s="1"/>
  <c r="AZ8" i="11" a="1"/>
  <c r="AZ8" i="11"/>
  <c r="AZ8" i="10" s="1"/>
  <c r="AZ9" i="11" a="1"/>
  <c r="AZ9" i="11"/>
  <c r="AZ9" i="10" s="1"/>
  <c r="AZ10" i="11" a="1"/>
  <c r="AZ10" i="11"/>
  <c r="AZ10" i="10" s="1"/>
  <c r="AZ11" i="11" a="1"/>
  <c r="AZ11" i="11"/>
  <c r="AZ11" i="10" s="1"/>
  <c r="AZ12" i="11" a="1"/>
  <c r="AZ12" i="11"/>
  <c r="AZ12" i="10" s="1"/>
  <c r="AZ13" i="11" a="1"/>
  <c r="AZ13" i="11"/>
  <c r="AZ13" i="10" s="1"/>
  <c r="AZ14" i="11" a="1"/>
  <c r="AZ14" i="11"/>
  <c r="AZ14" i="10" s="1"/>
  <c r="AZ15" i="11" a="1"/>
  <c r="AZ15" i="11"/>
  <c r="AZ15" i="10" s="1"/>
  <c r="AZ16" i="11" a="1"/>
  <c r="AZ16" i="11"/>
  <c r="AZ16" i="10" s="1"/>
  <c r="AZ17" i="11" a="1"/>
  <c r="AZ17" i="11"/>
  <c r="AZ17" i="10" s="1"/>
  <c r="AZ18" i="11" a="1"/>
  <c r="AZ18" i="11"/>
  <c r="AZ18" i="10" s="1"/>
  <c r="AZ19" i="11" a="1"/>
  <c r="AZ19" i="11"/>
  <c r="AZ19" i="10" s="1"/>
  <c r="AZ20" i="11" a="1"/>
  <c r="AZ20" i="11"/>
  <c r="AZ20" i="10" s="1"/>
  <c r="AZ21" i="11" a="1"/>
  <c r="AZ21" i="11"/>
  <c r="AZ21" i="10" s="1"/>
  <c r="AZ22" i="11" a="1"/>
  <c r="AZ22" i="11"/>
  <c r="AZ22" i="10" s="1"/>
  <c r="AZ23" i="11" a="1"/>
  <c r="AZ23" i="11"/>
  <c r="AZ23" i="10" s="1"/>
  <c r="AZ24" i="11" a="1"/>
  <c r="AZ24" i="11"/>
  <c r="AZ24" i="10" s="1"/>
  <c r="AZ25" i="11" a="1"/>
  <c r="AZ25" i="11"/>
  <c r="AZ25" i="10" s="1"/>
  <c r="AZ26" i="11" a="1"/>
  <c r="AZ26" i="11"/>
  <c r="AZ26" i="10" s="1"/>
  <c r="AZ27" i="11" a="1"/>
  <c r="AZ27" i="11"/>
  <c r="AZ27" i="10" s="1"/>
  <c r="AZ28" i="11" a="1"/>
  <c r="AZ28" i="11"/>
  <c r="AZ28" i="10" s="1"/>
  <c r="AZ29" i="11" a="1"/>
  <c r="AZ29" i="11"/>
  <c r="AZ29" i="10" s="1"/>
  <c r="AZ30" i="11" a="1"/>
  <c r="AZ30" i="11"/>
  <c r="AZ30" i="10" s="1"/>
  <c r="AZ31" i="11" a="1"/>
  <c r="AZ31" i="11"/>
  <c r="AZ31" i="10" s="1"/>
  <c r="AZ32" i="11" a="1"/>
  <c r="AZ32" i="11"/>
  <c r="AZ32" i="10" s="1"/>
  <c r="AZ33" i="11" a="1"/>
  <c r="AZ33" i="11"/>
  <c r="AZ33" i="10" s="1"/>
  <c r="AZ34" i="11" a="1"/>
  <c r="AZ34" i="11"/>
  <c r="AZ34" i="10" s="1"/>
  <c r="AZ35" i="11" a="1"/>
  <c r="AZ35" i="11"/>
  <c r="AZ35" i="10" s="1"/>
  <c r="AZ36" i="11" a="1"/>
  <c r="AZ36" i="11"/>
  <c r="AZ36" i="10" s="1"/>
  <c r="AZ37" i="11" a="1"/>
  <c r="AZ37" i="11"/>
  <c r="AZ37" i="10" s="1"/>
  <c r="AZ38" i="11" a="1"/>
  <c r="AZ38" i="11"/>
  <c r="AZ38" i="10" s="1"/>
  <c r="AZ39" i="11" a="1"/>
  <c r="AZ39" i="11"/>
  <c r="AZ39" i="10" s="1"/>
  <c r="AZ40" i="11" a="1"/>
  <c r="AZ40" i="11"/>
  <c r="AZ40" i="10" s="1"/>
  <c r="AZ41" i="11" a="1"/>
  <c r="AZ41" i="11"/>
  <c r="AZ41" i="10" s="1"/>
  <c r="AZ42" i="11" a="1"/>
  <c r="AZ42" i="11"/>
  <c r="AZ42" i="10" s="1"/>
  <c r="AZ44" i="11" a="1"/>
  <c r="AZ44" i="11"/>
  <c r="AZ44" i="10" s="1"/>
  <c r="AZ45" i="11" a="1"/>
  <c r="AZ45" i="11"/>
  <c r="AZ45" i="10" s="1"/>
  <c r="AZ46" i="11" a="1"/>
  <c r="AZ46" i="11"/>
  <c r="AZ46" i="10" s="1"/>
  <c r="AZ47" i="11" a="1"/>
  <c r="AZ47" i="11"/>
  <c r="AZ47" i="10" s="1"/>
  <c r="AZ48" i="11" a="1"/>
  <c r="AZ48" i="11"/>
  <c r="AZ48" i="10" s="1"/>
  <c r="AZ49" i="11" a="1"/>
  <c r="AZ49" i="11"/>
  <c r="AZ49" i="10" s="1"/>
  <c r="AZ2" i="11" a="1"/>
  <c r="AZ2" i="11"/>
  <c r="AS3" i="11" a="1"/>
  <c r="AS3" i="11"/>
  <c r="AS3" i="10" s="1"/>
  <c r="AS4" i="11" a="1"/>
  <c r="AS4" i="11"/>
  <c r="AS4" i="10" s="1"/>
  <c r="AS5" i="11" a="1"/>
  <c r="AS5" i="11"/>
  <c r="AS5" i="10" s="1"/>
  <c r="AS6" i="11" a="1"/>
  <c r="AS6" i="11"/>
  <c r="AS6" i="10" s="1"/>
  <c r="AS7" i="11" a="1"/>
  <c r="AS7" i="11"/>
  <c r="AS7" i="10" s="1"/>
  <c r="AS8" i="11" a="1"/>
  <c r="AS8" i="11"/>
  <c r="AS8" i="10" s="1"/>
  <c r="AS9" i="11" a="1"/>
  <c r="AS9" i="11"/>
  <c r="AS9" i="10" s="1"/>
  <c r="AS10" i="11" a="1"/>
  <c r="AS10" i="11"/>
  <c r="AS10" i="10" s="1"/>
  <c r="AS11" i="11" a="1"/>
  <c r="AS11" i="11"/>
  <c r="AS11" i="10" s="1"/>
  <c r="AS12" i="11" a="1"/>
  <c r="AS12" i="11"/>
  <c r="AS12" i="10" s="1"/>
  <c r="AS13" i="11" a="1"/>
  <c r="AS13" i="11"/>
  <c r="AS13" i="10" s="1"/>
  <c r="AS14" i="11" a="1"/>
  <c r="AS14" i="11"/>
  <c r="AS14" i="10" s="1"/>
  <c r="AS15" i="11" a="1"/>
  <c r="AS15" i="11"/>
  <c r="AS15" i="10" s="1"/>
  <c r="AS16" i="11" a="1"/>
  <c r="AS16" i="11"/>
  <c r="AS16" i="10" s="1"/>
  <c r="AS17" i="11" a="1"/>
  <c r="AS17" i="11"/>
  <c r="AS17" i="10" s="1"/>
  <c r="AS18" i="11" a="1"/>
  <c r="AS18" i="11"/>
  <c r="AS18" i="10" s="1"/>
  <c r="AS19" i="11" a="1"/>
  <c r="AS19" i="11"/>
  <c r="AS19" i="10" s="1"/>
  <c r="AS20" i="11" a="1"/>
  <c r="AS20" i="11"/>
  <c r="AS20" i="10" s="1"/>
  <c r="AS21" i="11" a="1"/>
  <c r="AS21" i="11"/>
  <c r="AS21" i="10" s="1"/>
  <c r="AS22" i="11" a="1"/>
  <c r="AS22" i="11"/>
  <c r="AS22" i="10" s="1"/>
  <c r="AS23" i="11" a="1"/>
  <c r="AS23" i="11"/>
  <c r="AS23" i="10" s="1"/>
  <c r="AS24" i="11" a="1"/>
  <c r="AS24" i="11"/>
  <c r="AS24" i="10" s="1"/>
  <c r="AS25" i="11" a="1"/>
  <c r="AS25" i="11"/>
  <c r="AS25" i="10" s="1"/>
  <c r="AS26" i="11" a="1"/>
  <c r="AS26" i="11"/>
  <c r="AS26" i="10" s="1"/>
  <c r="AS27" i="11" a="1"/>
  <c r="AS27" i="11"/>
  <c r="AS27" i="10" s="1"/>
  <c r="AS28" i="11" a="1"/>
  <c r="AS28" i="11"/>
  <c r="AS28" i="10" s="1"/>
  <c r="AS29" i="11" a="1"/>
  <c r="AS29" i="11"/>
  <c r="AS29" i="10" s="1"/>
  <c r="AS30" i="11" a="1"/>
  <c r="AS30" i="11"/>
  <c r="AS30" i="10" s="1"/>
  <c r="AS31" i="11" a="1"/>
  <c r="AS31" i="11"/>
  <c r="AS31" i="10" s="1"/>
  <c r="AS32" i="11" a="1"/>
  <c r="AS32" i="11"/>
  <c r="AS32" i="10" s="1"/>
  <c r="AS33" i="11" a="1"/>
  <c r="AS33" i="11"/>
  <c r="AS33" i="10" s="1"/>
  <c r="AS34" i="11" a="1"/>
  <c r="AS34" i="11"/>
  <c r="AS34" i="10" s="1"/>
  <c r="AS35" i="11" a="1"/>
  <c r="AS35" i="11"/>
  <c r="AS35" i="10" s="1"/>
  <c r="AS36" i="11" a="1"/>
  <c r="AS36" i="11"/>
  <c r="AS36" i="10" s="1"/>
  <c r="AS37" i="11" a="1"/>
  <c r="AS37" i="11"/>
  <c r="AS37" i="10" s="1"/>
  <c r="AS38" i="11" a="1"/>
  <c r="AS38" i="11"/>
  <c r="AS38" i="10" s="1"/>
  <c r="AS39" i="11" a="1"/>
  <c r="AS39" i="11"/>
  <c r="AS39" i="10" s="1"/>
  <c r="AS40" i="11" a="1"/>
  <c r="AS40" i="11"/>
  <c r="AS40" i="10" s="1"/>
  <c r="AS41" i="11" a="1"/>
  <c r="AS41" i="11"/>
  <c r="AS41" i="10" s="1"/>
  <c r="AS42" i="11" a="1"/>
  <c r="AS42" i="11"/>
  <c r="AS42" i="10" s="1"/>
  <c r="AS44" i="11" a="1"/>
  <c r="AS44" i="11"/>
  <c r="AS44" i="10" s="1"/>
  <c r="AS45" i="11" a="1"/>
  <c r="AS45" i="11"/>
  <c r="AS45" i="10" s="1"/>
  <c r="AS46" i="11" a="1"/>
  <c r="AS46" i="11"/>
  <c r="AS46" i="10" s="1"/>
  <c r="AS47" i="11" a="1"/>
  <c r="AS47" i="11"/>
  <c r="AS47" i="10" s="1"/>
  <c r="AS48" i="11" a="1"/>
  <c r="AS48" i="11"/>
  <c r="AS48" i="10" s="1"/>
  <c r="AS49" i="11" a="1"/>
  <c r="AS49" i="11"/>
  <c r="AS49" i="10" s="1"/>
  <c r="AS2" i="11" a="1"/>
  <c r="AS2" i="11"/>
  <c r="AN3" i="11" a="1"/>
  <c r="AN3" i="11"/>
  <c r="AN3" i="10" s="1"/>
  <c r="AN4" i="11" a="1"/>
  <c r="AN4" i="11"/>
  <c r="AN4" i="10" s="1"/>
  <c r="AN5" i="11" a="1"/>
  <c r="AN5" i="11"/>
  <c r="AN5" i="10" s="1"/>
  <c r="AN6" i="11" a="1"/>
  <c r="AN6" i="11"/>
  <c r="AN6" i="10" s="1"/>
  <c r="AN7" i="11" a="1"/>
  <c r="AN7" i="11"/>
  <c r="AN7" i="10" s="1"/>
  <c r="AN8" i="11" a="1"/>
  <c r="AN8" i="11"/>
  <c r="AN8" i="10" s="1"/>
  <c r="AN9" i="11" a="1"/>
  <c r="AN9" i="11"/>
  <c r="AN9" i="10" s="1"/>
  <c r="AN10" i="11" a="1"/>
  <c r="AN10" i="11"/>
  <c r="AN10" i="10" s="1"/>
  <c r="AN11" i="11" a="1"/>
  <c r="AN11" i="11"/>
  <c r="AN11" i="10" s="1"/>
  <c r="AN12" i="11" a="1"/>
  <c r="AN12" i="11"/>
  <c r="AN12" i="10" s="1"/>
  <c r="AN13" i="11" a="1"/>
  <c r="AN13" i="11"/>
  <c r="AN13" i="10" s="1"/>
  <c r="AN14" i="11" a="1"/>
  <c r="AN14" i="11"/>
  <c r="AN14" i="10" s="1"/>
  <c r="AN15" i="11" a="1"/>
  <c r="AN15" i="11"/>
  <c r="AN15" i="10" s="1"/>
  <c r="AN16" i="11" a="1"/>
  <c r="AN16" i="11"/>
  <c r="AN16" i="10" s="1"/>
  <c r="AN17" i="11" a="1"/>
  <c r="AN17" i="11"/>
  <c r="AN17" i="10" s="1"/>
  <c r="AN18" i="11" a="1"/>
  <c r="AN18" i="11"/>
  <c r="AN18" i="10" s="1"/>
  <c r="AN19" i="11" a="1"/>
  <c r="AN19" i="11"/>
  <c r="AN19" i="10" s="1"/>
  <c r="AN20" i="11" a="1"/>
  <c r="AN20" i="11"/>
  <c r="AN20" i="10" s="1"/>
  <c r="AN21" i="11" a="1"/>
  <c r="AN21" i="11"/>
  <c r="AN21" i="10" s="1"/>
  <c r="AN22" i="11" a="1"/>
  <c r="AN22" i="11"/>
  <c r="AN22" i="10" s="1"/>
  <c r="AN23" i="11" a="1"/>
  <c r="AN23" i="11"/>
  <c r="AN23" i="10" s="1"/>
  <c r="AN24" i="11" a="1"/>
  <c r="AN24" i="11"/>
  <c r="AN24" i="10" s="1"/>
  <c r="AN25" i="11" a="1"/>
  <c r="AN25" i="11"/>
  <c r="AN25" i="10" s="1"/>
  <c r="AN26" i="11" a="1"/>
  <c r="AN26" i="11"/>
  <c r="AN26" i="10" s="1"/>
  <c r="AN27" i="11" a="1"/>
  <c r="AN27" i="11"/>
  <c r="AN27" i="10" s="1"/>
  <c r="AN28" i="11" a="1"/>
  <c r="AN28" i="11"/>
  <c r="AN28" i="10" s="1"/>
  <c r="AN29" i="11" a="1"/>
  <c r="AN29" i="11"/>
  <c r="AN29" i="10" s="1"/>
  <c r="AN30" i="11" a="1"/>
  <c r="AN30" i="11"/>
  <c r="AN30" i="10" s="1"/>
  <c r="AN31" i="11" a="1"/>
  <c r="AN31" i="11"/>
  <c r="AN31" i="10" s="1"/>
  <c r="AN32" i="11" a="1"/>
  <c r="AN32" i="11"/>
  <c r="AN32" i="10" s="1"/>
  <c r="AN33" i="11" a="1"/>
  <c r="AN33" i="11"/>
  <c r="AN33" i="10" s="1"/>
  <c r="AN34" i="11" a="1"/>
  <c r="AN34" i="11"/>
  <c r="AN34" i="10" s="1"/>
  <c r="AN35" i="11" a="1"/>
  <c r="AN35" i="11"/>
  <c r="AN35" i="10" s="1"/>
  <c r="AN36" i="11" a="1"/>
  <c r="AN36" i="11"/>
  <c r="AN36" i="10" s="1"/>
  <c r="AN37" i="11" a="1"/>
  <c r="AN37" i="11"/>
  <c r="AN37" i="10" s="1"/>
  <c r="AN38" i="11" a="1"/>
  <c r="AN38" i="11"/>
  <c r="AN38" i="10" s="1"/>
  <c r="AN39" i="11" a="1"/>
  <c r="AN39" i="11"/>
  <c r="AN39" i="10" s="1"/>
  <c r="AN40" i="11" a="1"/>
  <c r="AN40" i="11"/>
  <c r="AN40" i="10" s="1"/>
  <c r="AN41" i="11" a="1"/>
  <c r="AN41" i="11"/>
  <c r="AN41" i="10" s="1"/>
  <c r="AN42" i="11" a="1"/>
  <c r="AN42" i="11"/>
  <c r="AN42" i="10" s="1"/>
  <c r="AN44" i="11" a="1"/>
  <c r="AN44" i="11"/>
  <c r="AN44" i="10" s="1"/>
  <c r="AN45" i="11" a="1"/>
  <c r="AN45" i="11"/>
  <c r="AN45" i="10" s="1"/>
  <c r="AN46" i="11" a="1"/>
  <c r="AN46" i="11"/>
  <c r="AN46" i="10" s="1"/>
  <c r="AN47" i="11" a="1"/>
  <c r="AN47" i="11"/>
  <c r="AN47" i="10" s="1"/>
  <c r="AN48" i="11" a="1"/>
  <c r="AN48" i="11"/>
  <c r="AN48" i="10" s="1"/>
  <c r="AN49" i="11" a="1"/>
  <c r="AN49" i="11"/>
  <c r="AN49" i="10" s="1"/>
  <c r="AN2" i="11" a="1"/>
  <c r="AN2" i="11"/>
  <c r="AG3" i="11" a="1"/>
  <c r="AG3" i="11"/>
  <c r="AG3" i="10" s="1"/>
  <c r="AG4" i="11" a="1"/>
  <c r="AG4" i="11"/>
  <c r="AG4" i="10" s="1"/>
  <c r="AG5" i="11" a="1"/>
  <c r="AG5" i="11"/>
  <c r="AG5" i="10" s="1"/>
  <c r="AG6" i="11" a="1"/>
  <c r="AG6" i="11"/>
  <c r="AG6" i="10" s="1"/>
  <c r="AG7" i="11" a="1"/>
  <c r="AG7" i="11"/>
  <c r="AG7" i="10" s="1"/>
  <c r="AG8" i="11" a="1"/>
  <c r="AG8" i="11"/>
  <c r="AG8" i="10" s="1"/>
  <c r="AG9" i="11" a="1"/>
  <c r="AG9" i="11"/>
  <c r="AG9" i="10" s="1"/>
  <c r="AG10" i="11" a="1"/>
  <c r="AG10" i="11"/>
  <c r="AG10" i="10" s="1"/>
  <c r="AG11" i="11" a="1"/>
  <c r="AG11" i="11"/>
  <c r="AG11" i="10" s="1"/>
  <c r="AG12" i="11" a="1"/>
  <c r="AG12" i="11"/>
  <c r="AG12" i="10" s="1"/>
  <c r="AG13" i="11" a="1"/>
  <c r="AG13" i="11"/>
  <c r="AG13" i="10" s="1"/>
  <c r="AG14" i="11" a="1"/>
  <c r="AG14" i="11"/>
  <c r="AG14" i="10" s="1"/>
  <c r="AG15" i="11" a="1"/>
  <c r="AG15" i="11"/>
  <c r="AG15" i="10" s="1"/>
  <c r="AG16" i="11" a="1"/>
  <c r="AG16" i="11"/>
  <c r="AG16" i="10" s="1"/>
  <c r="AG17" i="11" a="1"/>
  <c r="AG17" i="11"/>
  <c r="AG17" i="10" s="1"/>
  <c r="AG18" i="11" a="1"/>
  <c r="AG18" i="11"/>
  <c r="AG18" i="10" s="1"/>
  <c r="AG19" i="11" a="1"/>
  <c r="AG19" i="11"/>
  <c r="AG19" i="10" s="1"/>
  <c r="AG20" i="11" a="1"/>
  <c r="AG20" i="11"/>
  <c r="AG20" i="10" s="1"/>
  <c r="AG21" i="11" a="1"/>
  <c r="AG21" i="11"/>
  <c r="AG21" i="10" s="1"/>
  <c r="AG22" i="11" a="1"/>
  <c r="AG22" i="11"/>
  <c r="AG22" i="10" s="1"/>
  <c r="AG23" i="11" a="1"/>
  <c r="AG23" i="11"/>
  <c r="AG23" i="10" s="1"/>
  <c r="AG24" i="11" a="1"/>
  <c r="AG24" i="11"/>
  <c r="AG24" i="10" s="1"/>
  <c r="AG25" i="11" a="1"/>
  <c r="AG25" i="11"/>
  <c r="AG25" i="10" s="1"/>
  <c r="AG26" i="11" a="1"/>
  <c r="AG26" i="11"/>
  <c r="AG26" i="10" s="1"/>
  <c r="AG27" i="11" a="1"/>
  <c r="AG27" i="11"/>
  <c r="AG27" i="10" s="1"/>
  <c r="AG28" i="11" a="1"/>
  <c r="AG28" i="11"/>
  <c r="AG28" i="10" s="1"/>
  <c r="AG29" i="11" a="1"/>
  <c r="AG29" i="11"/>
  <c r="AG29" i="10" s="1"/>
  <c r="AG30" i="11" a="1"/>
  <c r="AG30" i="11"/>
  <c r="AG30" i="10" s="1"/>
  <c r="AG31" i="11" a="1"/>
  <c r="AG31" i="11"/>
  <c r="AG31" i="10" s="1"/>
  <c r="AG32" i="11" a="1"/>
  <c r="AG32" i="11"/>
  <c r="AG32" i="10" s="1"/>
  <c r="AG33" i="11" a="1"/>
  <c r="AG33" i="11"/>
  <c r="AG33" i="10" s="1"/>
  <c r="AG34" i="11" a="1"/>
  <c r="AG34" i="11"/>
  <c r="AG34" i="10" s="1"/>
  <c r="AG35" i="11" a="1"/>
  <c r="AG35" i="11"/>
  <c r="AG35" i="10" s="1"/>
  <c r="AG36" i="11" a="1"/>
  <c r="AG36" i="11"/>
  <c r="AG36" i="10" s="1"/>
  <c r="AG37" i="11" a="1"/>
  <c r="AG37" i="11"/>
  <c r="AG37" i="10" s="1"/>
  <c r="AG38" i="11" a="1"/>
  <c r="AG38" i="11"/>
  <c r="AG38" i="10" s="1"/>
  <c r="AG39" i="11" a="1"/>
  <c r="AG39" i="11"/>
  <c r="AG39" i="10" s="1"/>
  <c r="AG40" i="11" a="1"/>
  <c r="AG40" i="11"/>
  <c r="AG40" i="10" s="1"/>
  <c r="AG41" i="11" a="1"/>
  <c r="AG41" i="11"/>
  <c r="AG41" i="10" s="1"/>
  <c r="AG42" i="11" a="1"/>
  <c r="AG42" i="11"/>
  <c r="AG42" i="10" s="1"/>
  <c r="AG44" i="11" a="1"/>
  <c r="AG44" i="11"/>
  <c r="AG44" i="10" s="1"/>
  <c r="AG45" i="11" a="1"/>
  <c r="AG45" i="11"/>
  <c r="AG45" i="10" s="1"/>
  <c r="AG46" i="11" a="1"/>
  <c r="AG46" i="11"/>
  <c r="AG46" i="10" s="1"/>
  <c r="AG47" i="11" a="1"/>
  <c r="AG47" i="11"/>
  <c r="AG47" i="10" s="1"/>
  <c r="AG48" i="11" a="1"/>
  <c r="AG48" i="11"/>
  <c r="AG48" i="10" s="1"/>
  <c r="AG49" i="11" a="1"/>
  <c r="AG49" i="11"/>
  <c r="AG49" i="10" s="1"/>
  <c r="AG2" i="11" a="1"/>
  <c r="AG2" i="11"/>
  <c r="AB3" i="11" a="1"/>
  <c r="AB3" i="11"/>
  <c r="AB3" i="10" s="1"/>
  <c r="AB4" i="11" a="1"/>
  <c r="AB4" i="11"/>
  <c r="AB4" i="10" s="1"/>
  <c r="AB5" i="11" a="1"/>
  <c r="AB5" i="11"/>
  <c r="AB5" i="10" s="1"/>
  <c r="AB6" i="11" a="1"/>
  <c r="AB6" i="11"/>
  <c r="AB6" i="10" s="1"/>
  <c r="AB7" i="11" a="1"/>
  <c r="AB7" i="11"/>
  <c r="AB7" i="10" s="1"/>
  <c r="AB8" i="11" a="1"/>
  <c r="AB8" i="11"/>
  <c r="AB8" i="10" s="1"/>
  <c r="AB9" i="11" a="1"/>
  <c r="AB9" i="11"/>
  <c r="AB9" i="10" s="1"/>
  <c r="AB10" i="11" a="1"/>
  <c r="AB10" i="11"/>
  <c r="AB10" i="10" s="1"/>
  <c r="AB11" i="11" a="1"/>
  <c r="AB11" i="11"/>
  <c r="AB11" i="10" s="1"/>
  <c r="AB12" i="11" a="1"/>
  <c r="AB12" i="11"/>
  <c r="AB12" i="10" s="1"/>
  <c r="AB13" i="11" a="1"/>
  <c r="AB13" i="11"/>
  <c r="AB13" i="10" s="1"/>
  <c r="AB14" i="11" a="1"/>
  <c r="AB14" i="11"/>
  <c r="AB14" i="10" s="1"/>
  <c r="AB15" i="11" a="1"/>
  <c r="AB15" i="11"/>
  <c r="AB15" i="10" s="1"/>
  <c r="AB16" i="11" a="1"/>
  <c r="AB16" i="11"/>
  <c r="AB16" i="10" s="1"/>
  <c r="AB17" i="11" a="1"/>
  <c r="AB17" i="11"/>
  <c r="AB17" i="10" s="1"/>
  <c r="AB18" i="11" a="1"/>
  <c r="AB18" i="11"/>
  <c r="AB18" i="10" s="1"/>
  <c r="AB19" i="11" a="1"/>
  <c r="AB19" i="11"/>
  <c r="AB19" i="10" s="1"/>
  <c r="AB20" i="11" a="1"/>
  <c r="AB20" i="11"/>
  <c r="AB20" i="10" s="1"/>
  <c r="AB21" i="11" a="1"/>
  <c r="AB21" i="11"/>
  <c r="AB21" i="10" s="1"/>
  <c r="AB22" i="11" a="1"/>
  <c r="AB22" i="11"/>
  <c r="AB22" i="10" s="1"/>
  <c r="AB23" i="11" a="1"/>
  <c r="AB23" i="11"/>
  <c r="AB23" i="10" s="1"/>
  <c r="AB24" i="11" a="1"/>
  <c r="AB24" i="11"/>
  <c r="AB24" i="10" s="1"/>
  <c r="AB25" i="11" a="1"/>
  <c r="AB25" i="11"/>
  <c r="AB25" i="10" s="1"/>
  <c r="AB26" i="11" a="1"/>
  <c r="AB26" i="11"/>
  <c r="AB26" i="10" s="1"/>
  <c r="AB27" i="11" a="1"/>
  <c r="AB27" i="11"/>
  <c r="AB27" i="10" s="1"/>
  <c r="AB28" i="11" a="1"/>
  <c r="AB28" i="11"/>
  <c r="AB28" i="10" s="1"/>
  <c r="AB29" i="11" a="1"/>
  <c r="AB29" i="11"/>
  <c r="AB29" i="10" s="1"/>
  <c r="AB30" i="11" a="1"/>
  <c r="AB30" i="11"/>
  <c r="AB30" i="10" s="1"/>
  <c r="AB31" i="11" a="1"/>
  <c r="AB31" i="11"/>
  <c r="AB31" i="10" s="1"/>
  <c r="AB32" i="11" a="1"/>
  <c r="AB32" i="11"/>
  <c r="AB32" i="10" s="1"/>
  <c r="AB33" i="11" a="1"/>
  <c r="AB33" i="11"/>
  <c r="AB33" i="10" s="1"/>
  <c r="AB34" i="11" a="1"/>
  <c r="AB34" i="11"/>
  <c r="AB34" i="10" s="1"/>
  <c r="AB35" i="11" a="1"/>
  <c r="AB35" i="11"/>
  <c r="AB35" i="10" s="1"/>
  <c r="AB36" i="11" a="1"/>
  <c r="AB36" i="11"/>
  <c r="AB36" i="10" s="1"/>
  <c r="AB37" i="11" a="1"/>
  <c r="AB37" i="11"/>
  <c r="AB37" i="10" s="1"/>
  <c r="AB38" i="11" a="1"/>
  <c r="AB38" i="11"/>
  <c r="AB38" i="10" s="1"/>
  <c r="AB39" i="11" a="1"/>
  <c r="AB39" i="11"/>
  <c r="AB39" i="10" s="1"/>
  <c r="AB40" i="11" a="1"/>
  <c r="AB40" i="11"/>
  <c r="AB40" i="10" s="1"/>
  <c r="AB41" i="11" a="1"/>
  <c r="AB41" i="11"/>
  <c r="AB41" i="10" s="1"/>
  <c r="AB42" i="11" a="1"/>
  <c r="AB42" i="11"/>
  <c r="AB42" i="10" s="1"/>
  <c r="AB44" i="11" a="1"/>
  <c r="AB44" i="11"/>
  <c r="AB44" i="10" s="1"/>
  <c r="AB45" i="11" a="1"/>
  <c r="AB45" i="11"/>
  <c r="AB45" i="10" s="1"/>
  <c r="AB46" i="11" a="1"/>
  <c r="AB46" i="11"/>
  <c r="AB46" i="10" s="1"/>
  <c r="AB47" i="11" a="1"/>
  <c r="AB47" i="11"/>
  <c r="AB47" i="10" s="1"/>
  <c r="AB48" i="11" a="1"/>
  <c r="AB48" i="11"/>
  <c r="AB48" i="10" s="1"/>
  <c r="AB49" i="11" a="1"/>
  <c r="AB49" i="11"/>
  <c r="AB49" i="10" s="1"/>
  <c r="AB2" i="11" a="1"/>
  <c r="AB2" i="11"/>
  <c r="U5" i="11" a="1"/>
  <c r="U5" i="11"/>
  <c r="U5" i="10" s="1"/>
  <c r="U6" i="11" a="1"/>
  <c r="U6" i="11"/>
  <c r="U6" i="10" s="1"/>
  <c r="U7" i="11" a="1"/>
  <c r="U7" i="11"/>
  <c r="U7" i="10" s="1"/>
  <c r="U8" i="11" a="1"/>
  <c r="U8" i="11"/>
  <c r="U8" i="10" s="1"/>
  <c r="U9" i="11" a="1"/>
  <c r="U9" i="11"/>
  <c r="U9" i="10" s="1"/>
  <c r="U10" i="11" a="1"/>
  <c r="U10" i="11"/>
  <c r="U10" i="10" s="1"/>
  <c r="U11" i="11" a="1"/>
  <c r="U11" i="11"/>
  <c r="U11" i="10" s="1"/>
  <c r="U12" i="11" a="1"/>
  <c r="U12" i="11"/>
  <c r="U12" i="10" s="1"/>
  <c r="U13" i="11" a="1"/>
  <c r="U13" i="11"/>
  <c r="U13" i="10" s="1"/>
  <c r="U14" i="11" a="1"/>
  <c r="U14" i="11"/>
  <c r="U14" i="10" s="1"/>
  <c r="U15" i="11" a="1"/>
  <c r="U15" i="11"/>
  <c r="U15" i="10" s="1"/>
  <c r="U16" i="11" a="1"/>
  <c r="U16" i="11"/>
  <c r="U16" i="10" s="1"/>
  <c r="U17" i="11" a="1"/>
  <c r="U17" i="11"/>
  <c r="U17" i="10" s="1"/>
  <c r="U18" i="11" a="1"/>
  <c r="U18" i="11"/>
  <c r="U18" i="10" s="1"/>
  <c r="U19" i="11" a="1"/>
  <c r="U19" i="11"/>
  <c r="U19" i="10" s="1"/>
  <c r="U20" i="11" a="1"/>
  <c r="U20" i="11"/>
  <c r="U20" i="10" s="1"/>
  <c r="U21" i="11" a="1"/>
  <c r="U21" i="11"/>
  <c r="U21" i="10" s="1"/>
  <c r="U22" i="11" a="1"/>
  <c r="U22" i="11"/>
  <c r="U22" i="10" s="1"/>
  <c r="U23" i="11" a="1"/>
  <c r="U23" i="11"/>
  <c r="U23" i="10" s="1"/>
  <c r="U24" i="11" a="1"/>
  <c r="U24" i="11"/>
  <c r="U24" i="10" s="1"/>
  <c r="U25" i="11" a="1"/>
  <c r="U25" i="11"/>
  <c r="U25" i="10" s="1"/>
  <c r="U26" i="11" a="1"/>
  <c r="U26" i="11"/>
  <c r="U26" i="10" s="1"/>
  <c r="U27" i="11" a="1"/>
  <c r="U27" i="11"/>
  <c r="U27" i="10" s="1"/>
  <c r="U28" i="11" a="1"/>
  <c r="U28" i="11"/>
  <c r="U28" i="10" s="1"/>
  <c r="U29" i="11" a="1"/>
  <c r="U29" i="11"/>
  <c r="U29" i="10" s="1"/>
  <c r="U30" i="11" a="1"/>
  <c r="U30" i="11"/>
  <c r="U30" i="10" s="1"/>
  <c r="U31" i="11" a="1"/>
  <c r="U31" i="11"/>
  <c r="U31" i="10" s="1"/>
  <c r="U32" i="11" a="1"/>
  <c r="U32" i="11"/>
  <c r="U32" i="10" s="1"/>
  <c r="U33" i="11" a="1"/>
  <c r="U33" i="11"/>
  <c r="U33" i="10" s="1"/>
  <c r="U34" i="11" a="1"/>
  <c r="U34" i="11"/>
  <c r="U34" i="10" s="1"/>
  <c r="U35" i="11" a="1"/>
  <c r="U35" i="11"/>
  <c r="U35" i="10" s="1"/>
  <c r="U36" i="11" a="1"/>
  <c r="U36" i="11"/>
  <c r="U36" i="10" s="1"/>
  <c r="U37" i="11" a="1"/>
  <c r="U37" i="11"/>
  <c r="U37" i="10" s="1"/>
  <c r="U38" i="11" a="1"/>
  <c r="U38" i="11"/>
  <c r="U38" i="10" s="1"/>
  <c r="U39" i="11" a="1"/>
  <c r="U39" i="11"/>
  <c r="U39" i="10" s="1"/>
  <c r="U40" i="11" a="1"/>
  <c r="U40" i="11"/>
  <c r="U40" i="10" s="1"/>
  <c r="U41" i="11" a="1"/>
  <c r="U41" i="11"/>
  <c r="U41" i="10" s="1"/>
  <c r="U42" i="11" a="1"/>
  <c r="U42" i="11"/>
  <c r="U42" i="10" s="1"/>
  <c r="U44" i="11" a="1"/>
  <c r="U44" i="11"/>
  <c r="U44" i="10" s="1"/>
  <c r="U45" i="11" a="1"/>
  <c r="U45" i="11"/>
  <c r="U45" i="10" s="1"/>
  <c r="U46" i="11" a="1"/>
  <c r="U46" i="11"/>
  <c r="U46" i="10" s="1"/>
  <c r="U47" i="11" a="1"/>
  <c r="U47" i="11"/>
  <c r="U47" i="10" s="1"/>
  <c r="U48" i="11" a="1"/>
  <c r="U48" i="11"/>
  <c r="U48" i="10" s="1"/>
  <c r="U49" i="11" a="1"/>
  <c r="U49" i="11"/>
  <c r="U49" i="10" s="1"/>
  <c r="U4" i="11" a="1"/>
  <c r="U4" i="11"/>
  <c r="U4" i="10" s="1"/>
  <c r="U3" i="11" a="1"/>
  <c r="U3" i="11"/>
  <c r="U3" i="10" s="1"/>
  <c r="U2" i="11" a="1"/>
  <c r="U2" i="11"/>
  <c r="P3" i="11" a="1"/>
  <c r="P3" i="11"/>
  <c r="P3" i="10" s="1"/>
  <c r="P4" i="11" a="1"/>
  <c r="P4" i="11"/>
  <c r="P4" i="10" s="1"/>
  <c r="P5" i="11" a="1"/>
  <c r="P5" i="11"/>
  <c r="P5" i="10" s="1"/>
  <c r="P6" i="11" a="1"/>
  <c r="P6" i="11"/>
  <c r="P6" i="10" s="1"/>
  <c r="P7" i="11" a="1"/>
  <c r="P7" i="11"/>
  <c r="P7" i="10" s="1"/>
  <c r="P8" i="11" a="1"/>
  <c r="P8" i="11"/>
  <c r="P8" i="10" s="1"/>
  <c r="P9" i="11" a="1"/>
  <c r="P9" i="11"/>
  <c r="P9" i="10" s="1"/>
  <c r="P10" i="11" a="1"/>
  <c r="P10" i="11"/>
  <c r="P10" i="10" s="1"/>
  <c r="P11" i="11" a="1"/>
  <c r="P11" i="11"/>
  <c r="P11" i="10" s="1"/>
  <c r="P12" i="11" a="1"/>
  <c r="P12" i="11"/>
  <c r="P12" i="10" s="1"/>
  <c r="P13" i="11" a="1"/>
  <c r="P13" i="11"/>
  <c r="P13" i="10" s="1"/>
  <c r="P14" i="11" a="1"/>
  <c r="P14" i="11"/>
  <c r="P14" i="10" s="1"/>
  <c r="P15" i="11" a="1"/>
  <c r="P15" i="11"/>
  <c r="P15" i="10" s="1"/>
  <c r="P16" i="11" a="1"/>
  <c r="P16" i="11"/>
  <c r="P16" i="10" s="1"/>
  <c r="P17" i="11" a="1"/>
  <c r="P17" i="11"/>
  <c r="P17" i="10" s="1"/>
  <c r="P18" i="11" a="1"/>
  <c r="P18" i="11"/>
  <c r="P18" i="10" s="1"/>
  <c r="P19" i="11" a="1"/>
  <c r="P19" i="11"/>
  <c r="P19" i="10" s="1"/>
  <c r="P20" i="11" a="1"/>
  <c r="P20" i="11"/>
  <c r="P20" i="10" s="1"/>
  <c r="P21" i="11" a="1"/>
  <c r="P21" i="11"/>
  <c r="P21" i="10" s="1"/>
  <c r="P22" i="11" a="1"/>
  <c r="P22" i="11"/>
  <c r="P22" i="10" s="1"/>
  <c r="P23" i="11" a="1"/>
  <c r="P23" i="11"/>
  <c r="P23" i="10" s="1"/>
  <c r="P24" i="11" a="1"/>
  <c r="P24" i="11"/>
  <c r="P24" i="10" s="1"/>
  <c r="P25" i="11" a="1"/>
  <c r="P25" i="11"/>
  <c r="P25" i="10" s="1"/>
  <c r="P26" i="11" a="1"/>
  <c r="P26" i="11"/>
  <c r="P26" i="10" s="1"/>
  <c r="P27" i="11" a="1"/>
  <c r="P27" i="11"/>
  <c r="P27" i="10" s="1"/>
  <c r="P28" i="11" a="1"/>
  <c r="P28" i="11"/>
  <c r="P28" i="10" s="1"/>
  <c r="P29" i="11" a="1"/>
  <c r="P29" i="11"/>
  <c r="P29" i="10" s="1"/>
  <c r="P30" i="11" a="1"/>
  <c r="P30" i="11"/>
  <c r="P30" i="10" s="1"/>
  <c r="P31" i="11" a="1"/>
  <c r="P31" i="11"/>
  <c r="P31" i="10" s="1"/>
  <c r="P32" i="11" a="1"/>
  <c r="P32" i="11"/>
  <c r="P32" i="10" s="1"/>
  <c r="P33" i="11" a="1"/>
  <c r="P33" i="11"/>
  <c r="P33" i="10" s="1"/>
  <c r="P34" i="11" a="1"/>
  <c r="P34" i="11"/>
  <c r="P34" i="10" s="1"/>
  <c r="P35" i="11" a="1"/>
  <c r="P35" i="11"/>
  <c r="P35" i="10" s="1"/>
  <c r="P36" i="11" a="1"/>
  <c r="P36" i="11"/>
  <c r="P36" i="10" s="1"/>
  <c r="P37" i="11" a="1"/>
  <c r="P37" i="11"/>
  <c r="P37" i="10" s="1"/>
  <c r="P38" i="11" a="1"/>
  <c r="P38" i="11"/>
  <c r="P38" i="10" s="1"/>
  <c r="P39" i="11" a="1"/>
  <c r="P39" i="11"/>
  <c r="P39" i="10" s="1"/>
  <c r="P40" i="11" a="1"/>
  <c r="P40" i="11"/>
  <c r="P40" i="10" s="1"/>
  <c r="P41" i="11" a="1"/>
  <c r="P41" i="11"/>
  <c r="P41" i="10" s="1"/>
  <c r="P42" i="11" a="1"/>
  <c r="P42" i="11"/>
  <c r="P42" i="10" s="1"/>
  <c r="P44" i="11" a="1"/>
  <c r="P44" i="11"/>
  <c r="P44" i="10" s="1"/>
  <c r="P45" i="11" a="1"/>
  <c r="P45" i="11"/>
  <c r="P45" i="10" s="1"/>
  <c r="P46" i="11" a="1"/>
  <c r="P46" i="11"/>
  <c r="P46" i="10" s="1"/>
  <c r="P47" i="11" a="1"/>
  <c r="P47" i="11"/>
  <c r="P47" i="10" s="1"/>
  <c r="P48" i="11" a="1"/>
  <c r="P48" i="11"/>
  <c r="P48" i="10" s="1"/>
  <c r="P49" i="11" a="1"/>
  <c r="P49" i="11"/>
  <c r="P49" i="10" s="1"/>
  <c r="P2" i="11" a="1"/>
  <c r="P2" i="11"/>
  <c r="P50" i="11" s="1"/>
  <c r="O50" i="11"/>
  <c r="T50" i="11"/>
  <c r="U50" i="11"/>
  <c r="AA50" i="11"/>
  <c r="AB50" i="11"/>
  <c r="AF50" i="11"/>
  <c r="AG50" i="11"/>
  <c r="AM50" i="11"/>
  <c r="AN50" i="11"/>
  <c r="AR50" i="11"/>
  <c r="AS50" i="11"/>
  <c r="AY50" i="11"/>
  <c r="AZ50" i="11"/>
  <c r="BD50" i="11"/>
  <c r="D3" i="10"/>
  <c r="D4" i="11" a="1"/>
  <c r="D4" i="11"/>
  <c r="D4" i="10" s="1"/>
  <c r="D5" i="11" a="1"/>
  <c r="D5" i="11"/>
  <c r="D5" i="10" s="1"/>
  <c r="D6" i="11" a="1"/>
  <c r="D6" i="11"/>
  <c r="D6" i="10" s="1"/>
  <c r="D7" i="11" a="1"/>
  <c r="D7" i="11"/>
  <c r="D7" i="10" s="1"/>
  <c r="D8" i="11" a="1"/>
  <c r="D8" i="11"/>
  <c r="D8" i="10" s="1"/>
  <c r="D9" i="11" a="1"/>
  <c r="D9" i="11"/>
  <c r="D9" i="10" s="1"/>
  <c r="D10" i="11" a="1"/>
  <c r="D10" i="11"/>
  <c r="D10" i="10" s="1"/>
  <c r="D11" i="11" a="1"/>
  <c r="D11" i="11"/>
  <c r="D11" i="10" s="1"/>
  <c r="D12" i="11" a="1"/>
  <c r="D12" i="11"/>
  <c r="D12" i="10" s="1"/>
  <c r="D13" i="11" a="1"/>
  <c r="D13" i="11"/>
  <c r="D13" i="10" s="1"/>
  <c r="D14" i="11" a="1"/>
  <c r="D14" i="11"/>
  <c r="D14" i="10" s="1"/>
  <c r="D15" i="11" a="1"/>
  <c r="D15" i="11"/>
  <c r="D15" i="10" s="1"/>
  <c r="D16" i="11" a="1"/>
  <c r="D16" i="11"/>
  <c r="D16" i="10" s="1"/>
  <c r="D17" i="11" a="1"/>
  <c r="D17" i="11"/>
  <c r="D17" i="10" s="1"/>
  <c r="D18" i="11" a="1"/>
  <c r="D18" i="11"/>
  <c r="D18" i="10" s="1"/>
  <c r="D19" i="11" a="1"/>
  <c r="D19" i="11"/>
  <c r="D19" i="10" s="1"/>
  <c r="D20" i="11" a="1"/>
  <c r="D20" i="11"/>
  <c r="D20" i="10" s="1"/>
  <c r="D21" i="11" a="1"/>
  <c r="D21" i="11"/>
  <c r="D21" i="10" s="1"/>
  <c r="D22" i="11" a="1"/>
  <c r="D22" i="11"/>
  <c r="D22" i="10" s="1"/>
  <c r="D23" i="11" a="1"/>
  <c r="D23" i="11"/>
  <c r="D23" i="10" s="1"/>
  <c r="D24" i="11" a="1"/>
  <c r="D24" i="11"/>
  <c r="D24" i="10" s="1"/>
  <c r="D25" i="11" a="1"/>
  <c r="D25" i="11"/>
  <c r="D25" i="10" s="1"/>
  <c r="D26" i="11" a="1"/>
  <c r="D26" i="11"/>
  <c r="D26" i="10" s="1"/>
  <c r="D27" i="11" a="1"/>
  <c r="D27" i="11"/>
  <c r="D27" i="10" s="1"/>
  <c r="D28" i="11" a="1"/>
  <c r="D28" i="11"/>
  <c r="D28" i="10" s="1"/>
  <c r="D29" i="11" a="1"/>
  <c r="D29" i="11"/>
  <c r="D29" i="10" s="1"/>
  <c r="D30" i="11" a="1"/>
  <c r="D30" i="11"/>
  <c r="D30" i="10" s="1"/>
  <c r="D31" i="11" a="1"/>
  <c r="D31" i="11"/>
  <c r="D31" i="10" s="1"/>
  <c r="D32" i="11" a="1"/>
  <c r="D32" i="11"/>
  <c r="D32" i="10" s="1"/>
  <c r="D33" i="11" a="1"/>
  <c r="D33" i="11"/>
  <c r="D33" i="10" s="1"/>
  <c r="D34" i="11" a="1"/>
  <c r="D34" i="11"/>
  <c r="D34" i="10" s="1"/>
  <c r="D35" i="11" a="1"/>
  <c r="D35" i="11"/>
  <c r="D35" i="10" s="1"/>
  <c r="D36" i="11" a="1"/>
  <c r="D36" i="11"/>
  <c r="D36" i="10" s="1"/>
  <c r="D37" i="11" a="1"/>
  <c r="D37" i="11"/>
  <c r="D37" i="10" s="1"/>
  <c r="D38" i="11" a="1"/>
  <c r="D38" i="11"/>
  <c r="D38" i="10" s="1"/>
  <c r="D39" i="11" a="1"/>
  <c r="D39" i="11"/>
  <c r="D39" i="10" s="1"/>
  <c r="D40" i="11" a="1"/>
  <c r="D40" i="11"/>
  <c r="D40" i="10" s="1"/>
  <c r="D41" i="10"/>
  <c r="D44" i="11" a="1"/>
  <c r="D44" i="11"/>
  <c r="D44" i="10" s="1"/>
  <c r="D45" i="11" a="1"/>
  <c r="D45" i="11"/>
  <c r="D45" i="10" s="1"/>
  <c r="D46" i="11" a="1"/>
  <c r="D46" i="11"/>
  <c r="D46" i="10" s="1"/>
  <c r="D47" i="11" a="1"/>
  <c r="D47" i="11"/>
  <c r="D47" i="10" s="1"/>
  <c r="D48" i="11" a="1"/>
  <c r="D48" i="11"/>
  <c r="D48" i="10" s="1"/>
  <c r="D49" i="11" a="1"/>
  <c r="D49" i="11"/>
  <c r="D49" i="10" s="1"/>
  <c r="C50" i="11"/>
  <c r="M49" i="6"/>
  <c r="M45" i="6"/>
  <c r="M42" i="6"/>
  <c r="M39" i="6"/>
  <c r="M38" i="6"/>
  <c r="M36" i="6"/>
  <c r="M35" i="6"/>
  <c r="M31" i="6"/>
  <c r="M27" i="6"/>
  <c r="M24" i="6"/>
  <c r="M18" i="6"/>
  <c r="M14" i="6"/>
  <c r="M9" i="6"/>
  <c r="Y22" i="3"/>
  <c r="Y20" i="3"/>
  <c r="Y19" i="3"/>
  <c r="Y18" i="3"/>
  <c r="Y17" i="3"/>
  <c r="Y14" i="3"/>
  <c r="Y13" i="3"/>
  <c r="Y10" i="3"/>
  <c r="Y8" i="3"/>
  <c r="Y7" i="3"/>
  <c r="Y4" i="3"/>
  <c r="Y6" i="3"/>
  <c r="Y5" i="3"/>
  <c r="Y3" i="3"/>
  <c r="S2" i="3"/>
  <c r="AI46" i="3"/>
  <c r="AI45" i="3"/>
  <c r="AI47" i="3"/>
  <c r="S20" i="3"/>
  <c r="T20" i="3"/>
  <c r="S21" i="3"/>
  <c r="T21" i="3"/>
  <c r="S9" i="3"/>
  <c r="T9" i="3"/>
  <c r="N20" i="3"/>
  <c r="O20" i="3"/>
  <c r="N9" i="3"/>
  <c r="N8" i="3"/>
  <c r="AQ5" i="3" s="1"/>
  <c r="O9" i="3"/>
  <c r="AI29" i="3"/>
  <c r="AI27" i="3"/>
  <c r="AI28" i="3"/>
  <c r="AI26" i="3"/>
  <c r="AI48" i="3"/>
  <c r="AJ48" i="3" s="1"/>
  <c r="AI44" i="3"/>
  <c r="AI41" i="3"/>
  <c r="AI40" i="3"/>
  <c r="AI39" i="3"/>
  <c r="AI38" i="3"/>
  <c r="AI37" i="3"/>
  <c r="AI36" i="3"/>
  <c r="AI35" i="3"/>
  <c r="AI34" i="3"/>
  <c r="AJ34" i="3" s="1"/>
  <c r="AI31" i="3"/>
  <c r="AJ31" i="3" s="1"/>
  <c r="AI32" i="3"/>
  <c r="AJ32" i="3" s="1"/>
  <c r="AI33" i="3"/>
  <c r="AJ33" i="3" s="1"/>
  <c r="AI30" i="3"/>
  <c r="AJ30" i="3" s="1"/>
  <c r="AR5" i="3" s="1"/>
  <c r="AI24" i="3"/>
  <c r="AI25" i="3"/>
  <c r="AI23" i="3"/>
  <c r="AI18" i="3"/>
  <c r="AI19" i="3"/>
  <c r="AI20" i="3"/>
  <c r="AI21" i="3"/>
  <c r="AI22" i="3"/>
  <c r="AI17" i="3"/>
  <c r="AI14" i="3"/>
  <c r="AI15" i="3"/>
  <c r="AI16" i="3"/>
  <c r="AI13" i="3"/>
  <c r="AI9" i="3"/>
  <c r="AI10" i="3"/>
  <c r="AI11" i="3"/>
  <c r="AI12" i="3"/>
  <c r="AI3" i="3"/>
  <c r="AI4" i="3"/>
  <c r="AI5" i="3"/>
  <c r="AI6" i="3"/>
  <c r="AI7" i="3"/>
  <c r="N3" i="3"/>
  <c r="N2" i="3"/>
  <c r="N10" i="3"/>
  <c r="V12" i="3" a="1"/>
  <c r="V12" i="3"/>
  <c r="W9" i="3" a="1"/>
  <c r="W9" i="3"/>
  <c r="V9" i="3" a="1"/>
  <c r="V9" i="3"/>
  <c r="W8" i="3" a="1"/>
  <c r="W8" i="3"/>
  <c r="V8" i="3" a="1"/>
  <c r="V8" i="3"/>
  <c r="W7" i="3" a="1"/>
  <c r="W7" i="3"/>
  <c r="V7" i="3" a="1"/>
  <c r="V7" i="3"/>
  <c r="V6" i="3" a="1"/>
  <c r="V6" i="3"/>
  <c r="V5" i="3" a="1"/>
  <c r="V5" i="3"/>
  <c r="W4" i="3" a="1"/>
  <c r="W4" i="3"/>
  <c r="V4" i="3" a="1"/>
  <c r="V4" i="3"/>
  <c r="W6" i="3" a="1"/>
  <c r="W6" i="3"/>
  <c r="W5" i="3" a="1"/>
  <c r="W5" i="3"/>
  <c r="T2" i="3"/>
  <c r="V19" i="3" a="1"/>
  <c r="V19" i="3"/>
  <c r="V18" i="3" a="1"/>
  <c r="V18" i="3"/>
  <c r="V21" i="3" a="1"/>
  <c r="V21" i="3"/>
  <c r="V20" i="3" a="1"/>
  <c r="V20" i="3"/>
  <c r="V3" i="3" a="1"/>
  <c r="V3" i="3"/>
  <c r="V10" i="3" a="1"/>
  <c r="V10" i="3"/>
  <c r="V11" i="3" a="1"/>
  <c r="V11" i="3"/>
  <c r="V13" i="3" a="1"/>
  <c r="V13" i="3"/>
  <c r="V14" i="3" a="1"/>
  <c r="V14" i="3"/>
  <c r="V15" i="3" a="1"/>
  <c r="V15" i="3"/>
  <c r="W15" i="3" a="1"/>
  <c r="W15" i="3"/>
  <c r="W21" i="3" a="1"/>
  <c r="W21" i="3" s="1"/>
  <c r="O21" i="3"/>
  <c r="N21" i="3"/>
  <c r="W20" i="3" a="1"/>
  <c r="W20" i="3" s="1"/>
  <c r="W19" i="3" a="1"/>
  <c r="W19" i="3" s="1"/>
  <c r="T19" i="3"/>
  <c r="S19" i="3"/>
  <c r="O19" i="3"/>
  <c r="N19" i="3"/>
  <c r="AQ11" i="3" s="1"/>
  <c r="W18" i="3" a="1"/>
  <c r="W18" i="3" s="1"/>
  <c r="T18" i="3"/>
  <c r="S18" i="3"/>
  <c r="O18" i="3"/>
  <c r="N18" i="3"/>
  <c r="AJ45" i="3" s="1"/>
  <c r="T17" i="3"/>
  <c r="S17" i="3"/>
  <c r="O17" i="3"/>
  <c r="N17" i="3"/>
  <c r="AJ44" i="3" s="1"/>
  <c r="T16" i="3"/>
  <c r="S16" i="3"/>
  <c r="O16" i="3"/>
  <c r="N16" i="3"/>
  <c r="AQ9" i="3" s="1"/>
  <c r="T15" i="3"/>
  <c r="S15" i="3"/>
  <c r="O15" i="3"/>
  <c r="N15" i="3"/>
  <c r="W14" i="3" a="1"/>
  <c r="W14" i="3" s="1"/>
  <c r="T14" i="3"/>
  <c r="S14" i="3"/>
  <c r="O14" i="3"/>
  <c r="N14" i="3"/>
  <c r="AJ41" i="3" s="1"/>
  <c r="W13" i="3" a="1"/>
  <c r="W13" i="3" s="1"/>
  <c r="T13" i="3"/>
  <c r="S13" i="3"/>
  <c r="O13" i="3"/>
  <c r="N13" i="3"/>
  <c r="W12" i="3" a="1"/>
  <c r="W12" i="3" s="1"/>
  <c r="T12" i="3"/>
  <c r="S12" i="3"/>
  <c r="O12" i="3"/>
  <c r="N12" i="3"/>
  <c r="W11" i="3" a="1"/>
  <c r="W11" i="3" s="1"/>
  <c r="T11" i="3"/>
  <c r="S11" i="3"/>
  <c r="O11" i="3"/>
  <c r="N11" i="3"/>
  <c r="W10" i="3" a="1"/>
  <c r="W10" i="3" s="1"/>
  <c r="T10" i="3"/>
  <c r="S10" i="3"/>
  <c r="O10" i="3"/>
  <c r="T8" i="3"/>
  <c r="S8" i="3"/>
  <c r="O8" i="3"/>
  <c r="T7" i="3"/>
  <c r="S7" i="3"/>
  <c r="O7" i="3"/>
  <c r="N7" i="3"/>
  <c r="AQ4" i="3" s="1"/>
  <c r="T6" i="3"/>
  <c r="S6" i="3"/>
  <c r="O6" i="3"/>
  <c r="N6" i="3"/>
  <c r="T5" i="3"/>
  <c r="S5" i="3"/>
  <c r="O5" i="3"/>
  <c r="N5" i="3"/>
  <c r="AQ3" i="3" s="1"/>
  <c r="T4" i="3"/>
  <c r="S4" i="3"/>
  <c r="O4" i="3"/>
  <c r="N4" i="3"/>
  <c r="N22" i="3" s="1"/>
  <c r="W3" i="3" a="1"/>
  <c r="W3" i="3" s="1"/>
  <c r="T3" i="3"/>
  <c r="S3" i="3"/>
  <c r="O3" i="3"/>
  <c r="T22" i="3"/>
  <c r="O2" i="3"/>
  <c r="O22" i="3" s="1"/>
  <c r="CF10" i="10" l="1"/>
  <c r="AQ7" i="3"/>
  <c r="AJ40" i="3"/>
  <c r="AJ39" i="3"/>
  <c r="AJ43" i="3"/>
  <c r="AJ42" i="3"/>
  <c r="AR8" i="3" s="1"/>
  <c r="AQ12" i="3"/>
  <c r="AJ49" i="3"/>
  <c r="BD50" i="10"/>
  <c r="Q43" i="11" a="1"/>
  <c r="Q43" i="11" s="1"/>
  <c r="Q43" i="10" s="1"/>
  <c r="V43" i="11" a="1"/>
  <c r="V43" i="11" s="1"/>
  <c r="V43" i="10" s="1"/>
  <c r="AC43" i="11" a="1"/>
  <c r="AC43" i="11" s="1"/>
  <c r="AC43" i="10" s="1"/>
  <c r="AH43" i="11" a="1"/>
  <c r="AH43" i="11" s="1"/>
  <c r="AH43" i="10" s="1"/>
  <c r="AO43" i="11" a="1"/>
  <c r="AO43" i="11" s="1"/>
  <c r="AO43" i="10" s="1"/>
  <c r="AT43" i="11" a="1"/>
  <c r="AT43" i="11" s="1"/>
  <c r="AT43" i="10" s="1"/>
  <c r="BA43" i="11" a="1"/>
  <c r="BA43" i="11" s="1"/>
  <c r="BA43" i="10" s="1"/>
  <c r="D50" i="11"/>
  <c r="E43" i="11" a="1"/>
  <c r="E43" i="11" s="1"/>
  <c r="E43" i="10" s="1"/>
  <c r="AQ8" i="3"/>
  <c r="AQ2" i="3"/>
  <c r="AJ5" i="3"/>
  <c r="AJ2" i="3"/>
  <c r="E2" i="11" a="1"/>
  <c r="E2" i="11" s="1"/>
  <c r="Q2" i="11" a="1"/>
  <c r="Q2" i="11" s="1"/>
  <c r="P2" i="10"/>
  <c r="V2" i="11" a="1"/>
  <c r="V2" i="11" s="1"/>
  <c r="U2" i="10"/>
  <c r="AC2" i="11" a="1"/>
  <c r="AC2" i="11" s="1"/>
  <c r="AC2" i="10" s="1"/>
  <c r="AB2" i="10"/>
  <c r="AH2" i="11" a="1"/>
  <c r="AH2" i="11" s="1"/>
  <c r="AH2" i="10" s="1"/>
  <c r="AG2" i="10"/>
  <c r="AO2" i="11" a="1"/>
  <c r="AO2" i="11" s="1"/>
  <c r="AO2" i="10" s="1"/>
  <c r="AN2" i="10"/>
  <c r="AT2" i="11" a="1"/>
  <c r="AT2" i="11" s="1"/>
  <c r="AT2" i="10" s="1"/>
  <c r="AS2" i="10"/>
  <c r="BA2" i="11" a="1"/>
  <c r="BA2" i="11" s="1"/>
  <c r="BA2" i="10" s="1"/>
  <c r="AZ2" i="10"/>
  <c r="CF7" i="10"/>
  <c r="CF11" i="10" s="1"/>
  <c r="C55" i="10"/>
  <c r="D55" i="10" s="1"/>
  <c r="E2" i="10"/>
  <c r="E55" i="10"/>
  <c r="Q49" i="11" a="1"/>
  <c r="Q49" i="11" s="1"/>
  <c r="Q48" i="11" a="1"/>
  <c r="Q48" i="11" s="1"/>
  <c r="Q47" i="11" a="1"/>
  <c r="Q47" i="11" s="1"/>
  <c r="Q46" i="11" a="1"/>
  <c r="Q46" i="11" s="1"/>
  <c r="Q45" i="11" a="1"/>
  <c r="Q45" i="11" s="1"/>
  <c r="Q44" i="11" a="1"/>
  <c r="Q44" i="11" s="1"/>
  <c r="Q44" i="10" s="1"/>
  <c r="Q42" i="11" a="1"/>
  <c r="Q42" i="11" s="1"/>
  <c r="Q42" i="10" s="1"/>
  <c r="Q41" i="11" a="1"/>
  <c r="Q41" i="11" s="1"/>
  <c r="Q41" i="10" s="1"/>
  <c r="Q40" i="11" a="1"/>
  <c r="Q40" i="11" s="1"/>
  <c r="Q40" i="10" s="1"/>
  <c r="Q39" i="11" a="1"/>
  <c r="Q39" i="11" s="1"/>
  <c r="Q39" i="10" s="1"/>
  <c r="Q38" i="11" a="1"/>
  <c r="Q38" i="11" s="1"/>
  <c r="Q38" i="10" s="1"/>
  <c r="Q37" i="11" a="1"/>
  <c r="Q37" i="11" s="1"/>
  <c r="Q37" i="10" s="1"/>
  <c r="Q36" i="11" a="1"/>
  <c r="Q36" i="11" s="1"/>
  <c r="Q36" i="10" s="1"/>
  <c r="Q35" i="11" a="1"/>
  <c r="Q35" i="11" s="1"/>
  <c r="Q35" i="10" s="1"/>
  <c r="Q34" i="11" a="1"/>
  <c r="Q34" i="11" s="1"/>
  <c r="Q34" i="10" s="1"/>
  <c r="Q33" i="11" a="1"/>
  <c r="Q33" i="11" s="1"/>
  <c r="Q33" i="10" s="1"/>
  <c r="Q32" i="11" a="1"/>
  <c r="Q32" i="11" s="1"/>
  <c r="Q32" i="10" s="1"/>
  <c r="Q31" i="11" a="1"/>
  <c r="Q31" i="11" s="1"/>
  <c r="Q31" i="10" s="1"/>
  <c r="Q30" i="11" a="1"/>
  <c r="Q30" i="11" s="1"/>
  <c r="Q30" i="10" s="1"/>
  <c r="Q29" i="11" a="1"/>
  <c r="Q29" i="11" s="1"/>
  <c r="Q29" i="10" s="1"/>
  <c r="Q28" i="11" a="1"/>
  <c r="Q28" i="11" s="1"/>
  <c r="Q28" i="10" s="1"/>
  <c r="Q27" i="11" a="1"/>
  <c r="Q27" i="11" s="1"/>
  <c r="Q27" i="10" s="1"/>
  <c r="Q26" i="11" a="1"/>
  <c r="Q26" i="11" s="1"/>
  <c r="Q26" i="10" s="1"/>
  <c r="Q25" i="11" a="1"/>
  <c r="Q25" i="11" s="1"/>
  <c r="Q25" i="10" s="1"/>
  <c r="Q24" i="11" a="1"/>
  <c r="Q24" i="11" s="1"/>
  <c r="Q24" i="10" s="1"/>
  <c r="Q23" i="11" a="1"/>
  <c r="Q23" i="11" s="1"/>
  <c r="Q23" i="10" s="1"/>
  <c r="Q22" i="11" a="1"/>
  <c r="Q22" i="11" s="1"/>
  <c r="Q22" i="10" s="1"/>
  <c r="Q21" i="11" a="1"/>
  <c r="Q21" i="11" s="1"/>
  <c r="Q21" i="10" s="1"/>
  <c r="Q20" i="11" a="1"/>
  <c r="Q20" i="11" s="1"/>
  <c r="Q20" i="10" s="1"/>
  <c r="Q19" i="11" a="1"/>
  <c r="Q19" i="11" s="1"/>
  <c r="Q19" i="10" s="1"/>
  <c r="Q18" i="11" a="1"/>
  <c r="Q18" i="11" s="1"/>
  <c r="Q18" i="10" s="1"/>
  <c r="Q17" i="11" a="1"/>
  <c r="Q17" i="11" s="1"/>
  <c r="Q17" i="10" s="1"/>
  <c r="Q16" i="11" a="1"/>
  <c r="Q16" i="11" s="1"/>
  <c r="Q16" i="10" s="1"/>
  <c r="Q15" i="11" a="1"/>
  <c r="Q15" i="11" s="1"/>
  <c r="Q15" i="10" s="1"/>
  <c r="Q14" i="11" a="1"/>
  <c r="Q14" i="11" s="1"/>
  <c r="Q14" i="10" s="1"/>
  <c r="Q13" i="11" a="1"/>
  <c r="Q13" i="11" s="1"/>
  <c r="Q13" i="10" s="1"/>
  <c r="Q12" i="11" a="1"/>
  <c r="Q12" i="11" s="1"/>
  <c r="Q12" i="10" s="1"/>
  <c r="Q11" i="11" a="1"/>
  <c r="Q11" i="11" s="1"/>
  <c r="Q11" i="10" s="1"/>
  <c r="Q10" i="11" a="1"/>
  <c r="Q10" i="11" s="1"/>
  <c r="Q10" i="10" s="1"/>
  <c r="Q9" i="11" a="1"/>
  <c r="Q9" i="11" s="1"/>
  <c r="Q9" i="10" s="1"/>
  <c r="Q8" i="11" a="1"/>
  <c r="Q8" i="11" s="1"/>
  <c r="Q8" i="10" s="1"/>
  <c r="Q7" i="11" a="1"/>
  <c r="Q7" i="11" s="1"/>
  <c r="Q7" i="10" s="1"/>
  <c r="Q6" i="11" a="1"/>
  <c r="Q6" i="11" s="1"/>
  <c r="Q6" i="10" s="1"/>
  <c r="Q5" i="11" a="1"/>
  <c r="Q5" i="11" s="1"/>
  <c r="Q5" i="10" s="1"/>
  <c r="Q4" i="11" a="1"/>
  <c r="Q4" i="11" s="1"/>
  <c r="Q4" i="10" s="1"/>
  <c r="Q3" i="11" a="1"/>
  <c r="Q3" i="11" s="1"/>
  <c r="Q3" i="10" s="1"/>
  <c r="V3" i="11" a="1"/>
  <c r="V3" i="11" s="1"/>
  <c r="V3" i="10" s="1"/>
  <c r="V4" i="11" a="1"/>
  <c r="V4" i="11" s="1"/>
  <c r="V4" i="10" s="1"/>
  <c r="V49" i="11" a="1"/>
  <c r="V49" i="11" s="1"/>
  <c r="V48" i="11" a="1"/>
  <c r="V48" i="11" s="1"/>
  <c r="V47" i="11" a="1"/>
  <c r="V47" i="11" s="1"/>
  <c r="V46" i="11" a="1"/>
  <c r="V46" i="11" s="1"/>
  <c r="V45" i="11" a="1"/>
  <c r="V45" i="11" s="1"/>
  <c r="V44" i="11" a="1"/>
  <c r="V44" i="11" s="1"/>
  <c r="V44" i="10" s="1"/>
  <c r="V42" i="11" a="1"/>
  <c r="V42" i="11" s="1"/>
  <c r="V42" i="10" s="1"/>
  <c r="V41" i="11" a="1"/>
  <c r="V41" i="11" s="1"/>
  <c r="V41" i="10" s="1"/>
  <c r="V40" i="11" a="1"/>
  <c r="V40" i="11" s="1"/>
  <c r="V40" i="10" s="1"/>
  <c r="V39" i="11" a="1"/>
  <c r="V39" i="11" s="1"/>
  <c r="V39" i="10" s="1"/>
  <c r="V38" i="11" a="1"/>
  <c r="V38" i="11" s="1"/>
  <c r="V38" i="10" s="1"/>
  <c r="V37" i="11" a="1"/>
  <c r="V37" i="11" s="1"/>
  <c r="V37" i="10" s="1"/>
  <c r="V36" i="11" a="1"/>
  <c r="V36" i="11" s="1"/>
  <c r="V36" i="10" s="1"/>
  <c r="V35" i="11" a="1"/>
  <c r="V35" i="11" s="1"/>
  <c r="V35" i="10" s="1"/>
  <c r="V34" i="11" a="1"/>
  <c r="V34" i="11" s="1"/>
  <c r="V34" i="10" s="1"/>
  <c r="V33" i="11" a="1"/>
  <c r="V33" i="11" s="1"/>
  <c r="V33" i="10" s="1"/>
  <c r="V32" i="11" a="1"/>
  <c r="V32" i="11" s="1"/>
  <c r="V32" i="10" s="1"/>
  <c r="V31" i="11" a="1"/>
  <c r="V31" i="11" s="1"/>
  <c r="V31" i="10" s="1"/>
  <c r="V30" i="11" a="1"/>
  <c r="V30" i="11" s="1"/>
  <c r="V30" i="10" s="1"/>
  <c r="V29" i="11" a="1"/>
  <c r="V29" i="11" s="1"/>
  <c r="V29" i="10" s="1"/>
  <c r="V28" i="11" a="1"/>
  <c r="V28" i="11" s="1"/>
  <c r="V28" i="10" s="1"/>
  <c r="V27" i="11" a="1"/>
  <c r="V27" i="11" s="1"/>
  <c r="V27" i="10" s="1"/>
  <c r="V26" i="11" a="1"/>
  <c r="V26" i="11" s="1"/>
  <c r="V26" i="10" s="1"/>
  <c r="V25" i="11" a="1"/>
  <c r="V25" i="11" s="1"/>
  <c r="V25" i="10" s="1"/>
  <c r="V24" i="11" a="1"/>
  <c r="V24" i="11" s="1"/>
  <c r="V24" i="10" s="1"/>
  <c r="V23" i="11" a="1"/>
  <c r="V23" i="11" s="1"/>
  <c r="V23" i="10" s="1"/>
  <c r="V22" i="11" a="1"/>
  <c r="V22" i="11" s="1"/>
  <c r="V22" i="10" s="1"/>
  <c r="V21" i="11" a="1"/>
  <c r="V21" i="11" s="1"/>
  <c r="V21" i="10" s="1"/>
  <c r="V20" i="11" a="1"/>
  <c r="V20" i="11" s="1"/>
  <c r="V20" i="10" s="1"/>
  <c r="V19" i="11" a="1"/>
  <c r="V19" i="11" s="1"/>
  <c r="V19" i="10" s="1"/>
  <c r="V18" i="11" a="1"/>
  <c r="V18" i="11" s="1"/>
  <c r="V18" i="10" s="1"/>
  <c r="V17" i="11" a="1"/>
  <c r="V17" i="11" s="1"/>
  <c r="V17" i="10" s="1"/>
  <c r="V16" i="11" a="1"/>
  <c r="V16" i="11" s="1"/>
  <c r="V16" i="10" s="1"/>
  <c r="V15" i="11" a="1"/>
  <c r="V15" i="11" s="1"/>
  <c r="V15" i="10" s="1"/>
  <c r="V14" i="11" a="1"/>
  <c r="V14" i="11" s="1"/>
  <c r="V14" i="10" s="1"/>
  <c r="V13" i="11" a="1"/>
  <c r="V13" i="11" s="1"/>
  <c r="V13" i="10" s="1"/>
  <c r="V12" i="11" a="1"/>
  <c r="V12" i="11" s="1"/>
  <c r="V12" i="10" s="1"/>
  <c r="V11" i="11" a="1"/>
  <c r="V11" i="11" s="1"/>
  <c r="V11" i="10" s="1"/>
  <c r="V10" i="11" a="1"/>
  <c r="V10" i="11" s="1"/>
  <c r="V10" i="10" s="1"/>
  <c r="V9" i="11" a="1"/>
  <c r="V9" i="11" s="1"/>
  <c r="V9" i="10" s="1"/>
  <c r="V8" i="11" a="1"/>
  <c r="V8" i="11" s="1"/>
  <c r="V8" i="10" s="1"/>
  <c r="V7" i="11" a="1"/>
  <c r="V7" i="11" s="1"/>
  <c r="V7" i="10" s="1"/>
  <c r="V6" i="11" a="1"/>
  <c r="V6" i="11" s="1"/>
  <c r="V6" i="10" s="1"/>
  <c r="V5" i="11" a="1"/>
  <c r="V5" i="11" s="1"/>
  <c r="AC49" i="11" a="1"/>
  <c r="AC49" i="11" s="1"/>
  <c r="AC48" i="11" a="1"/>
  <c r="AC48" i="11" s="1"/>
  <c r="AC47" i="11" a="1"/>
  <c r="AC47" i="11" s="1"/>
  <c r="AC46" i="11" a="1"/>
  <c r="AC46" i="11" s="1"/>
  <c r="AC45" i="11" a="1"/>
  <c r="AC45" i="11" s="1"/>
  <c r="AC44" i="11" a="1"/>
  <c r="AC44" i="11" s="1"/>
  <c r="AC44" i="10" s="1"/>
  <c r="AC42" i="11" a="1"/>
  <c r="AC42" i="11" s="1"/>
  <c r="AC42" i="10" s="1"/>
  <c r="AC41" i="11" a="1"/>
  <c r="AC41" i="11" s="1"/>
  <c r="AC41" i="10" s="1"/>
  <c r="AC40" i="11" a="1"/>
  <c r="AC40" i="11" s="1"/>
  <c r="AC40" i="10" s="1"/>
  <c r="AC39" i="11" a="1"/>
  <c r="AC39" i="11" s="1"/>
  <c r="AC39" i="10" s="1"/>
  <c r="AC38" i="11" a="1"/>
  <c r="AC38" i="11" s="1"/>
  <c r="AC38" i="10" s="1"/>
  <c r="AC37" i="11" a="1"/>
  <c r="AC37" i="11" s="1"/>
  <c r="AC37" i="10" s="1"/>
  <c r="AC36" i="11" a="1"/>
  <c r="AC36" i="11" s="1"/>
  <c r="AC36" i="10" s="1"/>
  <c r="AC35" i="11" a="1"/>
  <c r="AC35" i="11" s="1"/>
  <c r="AC35" i="10" s="1"/>
  <c r="AC34" i="11" a="1"/>
  <c r="AC34" i="11" s="1"/>
  <c r="AC34" i="10" s="1"/>
  <c r="AC33" i="11" a="1"/>
  <c r="AC33" i="11" s="1"/>
  <c r="AC33" i="10" s="1"/>
  <c r="AC32" i="11" a="1"/>
  <c r="AC32" i="11" s="1"/>
  <c r="AC32" i="10" s="1"/>
  <c r="AC31" i="11" a="1"/>
  <c r="AC31" i="11" s="1"/>
  <c r="AC31" i="10" s="1"/>
  <c r="AC30" i="11" a="1"/>
  <c r="AC30" i="11" s="1"/>
  <c r="AC30" i="10" s="1"/>
  <c r="AC29" i="11" a="1"/>
  <c r="AC29" i="11" s="1"/>
  <c r="AC29" i="10" s="1"/>
  <c r="AC28" i="11" a="1"/>
  <c r="AC28" i="11" s="1"/>
  <c r="AC28" i="10" s="1"/>
  <c r="AC27" i="11" a="1"/>
  <c r="AC27" i="11" s="1"/>
  <c r="AC27" i="10" s="1"/>
  <c r="AC26" i="11" a="1"/>
  <c r="AC26" i="11" s="1"/>
  <c r="AC26" i="10" s="1"/>
  <c r="AC25" i="11" a="1"/>
  <c r="AC25" i="11" s="1"/>
  <c r="AC25" i="10" s="1"/>
  <c r="AC24" i="11" a="1"/>
  <c r="AC24" i="11" s="1"/>
  <c r="AC24" i="10" s="1"/>
  <c r="AC23" i="11" a="1"/>
  <c r="AC23" i="11" s="1"/>
  <c r="AC23" i="10" s="1"/>
  <c r="AC22" i="11" a="1"/>
  <c r="AC22" i="11" s="1"/>
  <c r="AC22" i="10" s="1"/>
  <c r="AC21" i="11" a="1"/>
  <c r="AC21" i="11" s="1"/>
  <c r="AC21" i="10" s="1"/>
  <c r="AC20" i="11" a="1"/>
  <c r="AC20" i="11" s="1"/>
  <c r="AC20" i="10" s="1"/>
  <c r="AC19" i="11" a="1"/>
  <c r="AC19" i="11" s="1"/>
  <c r="AC19" i="10" s="1"/>
  <c r="AC18" i="11" a="1"/>
  <c r="AC18" i="11" s="1"/>
  <c r="AC18" i="10" s="1"/>
  <c r="AC17" i="11" a="1"/>
  <c r="AC17" i="11" s="1"/>
  <c r="AC17" i="10" s="1"/>
  <c r="AC16" i="11" a="1"/>
  <c r="AC16" i="11" s="1"/>
  <c r="AC16" i="10" s="1"/>
  <c r="AC15" i="11" a="1"/>
  <c r="AC15" i="11" s="1"/>
  <c r="AC15" i="10" s="1"/>
  <c r="AC14" i="11" a="1"/>
  <c r="AC14" i="11" s="1"/>
  <c r="AC14" i="10" s="1"/>
  <c r="AC13" i="11" a="1"/>
  <c r="AC13" i="11" s="1"/>
  <c r="AC13" i="10" s="1"/>
  <c r="AC12" i="11" a="1"/>
  <c r="AC12" i="11" s="1"/>
  <c r="AC12" i="10" s="1"/>
  <c r="AC11" i="11" a="1"/>
  <c r="AC11" i="11" s="1"/>
  <c r="AC11" i="10" s="1"/>
  <c r="AC10" i="11" a="1"/>
  <c r="AC10" i="11" s="1"/>
  <c r="AC10" i="10" s="1"/>
  <c r="AC9" i="11" a="1"/>
  <c r="AC9" i="11" s="1"/>
  <c r="AC9" i="10" s="1"/>
  <c r="AC8" i="11" a="1"/>
  <c r="AC8" i="11" s="1"/>
  <c r="AC8" i="10" s="1"/>
  <c r="AC7" i="11" a="1"/>
  <c r="AC7" i="11" s="1"/>
  <c r="AC7" i="10" s="1"/>
  <c r="AC6" i="11" a="1"/>
  <c r="AC6" i="11" s="1"/>
  <c r="AC6" i="10" s="1"/>
  <c r="AC5" i="11" a="1"/>
  <c r="AC5" i="11" s="1"/>
  <c r="AC5" i="10" s="1"/>
  <c r="AC4" i="11" a="1"/>
  <c r="AC4" i="11" s="1"/>
  <c r="AC4" i="10" s="1"/>
  <c r="AC3" i="11" a="1"/>
  <c r="AC3" i="11" s="1"/>
  <c r="AC3" i="10" s="1"/>
  <c r="AH49" i="11" a="1"/>
  <c r="AH49" i="11" s="1"/>
  <c r="AH48" i="11" a="1"/>
  <c r="AH48" i="11" s="1"/>
  <c r="AH47" i="11" a="1"/>
  <c r="AH47" i="11" s="1"/>
  <c r="AH46" i="11" a="1"/>
  <c r="AH46" i="11" s="1"/>
  <c r="AH45" i="11" a="1"/>
  <c r="AH45" i="11" s="1"/>
  <c r="AH44" i="11" a="1"/>
  <c r="AH44" i="11" s="1"/>
  <c r="AH44" i="10" s="1"/>
  <c r="AH42" i="11" a="1"/>
  <c r="AH42" i="11" s="1"/>
  <c r="AH42" i="10" s="1"/>
  <c r="AH41" i="11" a="1"/>
  <c r="AH41" i="11" s="1"/>
  <c r="AH41" i="10" s="1"/>
  <c r="AH40" i="11" a="1"/>
  <c r="AH40" i="11" s="1"/>
  <c r="AH40" i="10" s="1"/>
  <c r="AH39" i="11" a="1"/>
  <c r="AH39" i="11" s="1"/>
  <c r="AH39" i="10" s="1"/>
  <c r="AH38" i="11" a="1"/>
  <c r="AH38" i="11" s="1"/>
  <c r="AH38" i="10" s="1"/>
  <c r="AH37" i="11" a="1"/>
  <c r="AH37" i="11" s="1"/>
  <c r="AH37" i="10" s="1"/>
  <c r="AH36" i="11" a="1"/>
  <c r="AH36" i="11" s="1"/>
  <c r="AH36" i="10" s="1"/>
  <c r="AH35" i="11" a="1"/>
  <c r="AH35" i="11" s="1"/>
  <c r="AH35" i="10" s="1"/>
  <c r="AH34" i="11" a="1"/>
  <c r="AH34" i="11" s="1"/>
  <c r="AH34" i="10" s="1"/>
  <c r="AH33" i="11" a="1"/>
  <c r="AH33" i="11" s="1"/>
  <c r="AH33" i="10" s="1"/>
  <c r="AH32" i="11" a="1"/>
  <c r="AH32" i="11" s="1"/>
  <c r="AH32" i="10" s="1"/>
  <c r="AH31" i="11" a="1"/>
  <c r="AH31" i="11" s="1"/>
  <c r="AH31" i="10" s="1"/>
  <c r="AH30" i="11" a="1"/>
  <c r="AH30" i="11" s="1"/>
  <c r="AH30" i="10" s="1"/>
  <c r="AH29" i="11" a="1"/>
  <c r="AH29" i="11" s="1"/>
  <c r="AH29" i="10" s="1"/>
  <c r="AH28" i="11" a="1"/>
  <c r="AH28" i="11" s="1"/>
  <c r="AH28" i="10" s="1"/>
  <c r="AH27" i="11" a="1"/>
  <c r="AH27" i="11" s="1"/>
  <c r="AH27" i="10" s="1"/>
  <c r="AH26" i="11" a="1"/>
  <c r="AH26" i="11" s="1"/>
  <c r="AH26" i="10" s="1"/>
  <c r="AH25" i="11" a="1"/>
  <c r="AH25" i="11" s="1"/>
  <c r="AH25" i="10" s="1"/>
  <c r="AH24" i="11" a="1"/>
  <c r="AH24" i="11" s="1"/>
  <c r="AH24" i="10" s="1"/>
  <c r="AH23" i="11" a="1"/>
  <c r="AH23" i="11" s="1"/>
  <c r="AH23" i="10" s="1"/>
  <c r="AH22" i="11" a="1"/>
  <c r="AH22" i="11" s="1"/>
  <c r="AH22" i="10" s="1"/>
  <c r="AH21" i="11" a="1"/>
  <c r="AH21" i="11" s="1"/>
  <c r="AH21" i="10" s="1"/>
  <c r="AH20" i="11" a="1"/>
  <c r="AH20" i="11" s="1"/>
  <c r="AH20" i="10" s="1"/>
  <c r="AH19" i="11" a="1"/>
  <c r="AH19" i="11" s="1"/>
  <c r="AH19" i="10" s="1"/>
  <c r="AH18" i="11" a="1"/>
  <c r="AH18" i="11" s="1"/>
  <c r="AH18" i="10" s="1"/>
  <c r="AH17" i="11" a="1"/>
  <c r="AH17" i="11" s="1"/>
  <c r="AH17" i="10" s="1"/>
  <c r="AH16" i="11" a="1"/>
  <c r="AH16" i="11" s="1"/>
  <c r="AH16" i="10" s="1"/>
  <c r="AH15" i="11" a="1"/>
  <c r="AH15" i="11" s="1"/>
  <c r="AH15" i="10" s="1"/>
  <c r="AH14" i="11" a="1"/>
  <c r="AH14" i="11" s="1"/>
  <c r="AH14" i="10" s="1"/>
  <c r="AH13" i="11" a="1"/>
  <c r="AH13" i="11" s="1"/>
  <c r="AH13" i="10" s="1"/>
  <c r="AH12" i="11" a="1"/>
  <c r="AH12" i="11" s="1"/>
  <c r="AH12" i="10" s="1"/>
  <c r="AH11" i="11" a="1"/>
  <c r="AH11" i="11" s="1"/>
  <c r="AH11" i="10" s="1"/>
  <c r="AH10" i="11" a="1"/>
  <c r="AH10" i="11" s="1"/>
  <c r="AH10" i="10" s="1"/>
  <c r="AH9" i="11" a="1"/>
  <c r="AH9" i="11" s="1"/>
  <c r="AH9" i="10" s="1"/>
  <c r="AH8" i="11" a="1"/>
  <c r="AH8" i="11" s="1"/>
  <c r="AH8" i="10" s="1"/>
  <c r="AH7" i="11" a="1"/>
  <c r="AH7" i="11" s="1"/>
  <c r="AH7" i="10" s="1"/>
  <c r="AH6" i="11" a="1"/>
  <c r="AH6" i="11" s="1"/>
  <c r="AH6" i="10" s="1"/>
  <c r="AH5" i="11" a="1"/>
  <c r="AH5" i="11" s="1"/>
  <c r="AH5" i="10" s="1"/>
  <c r="AH4" i="11" a="1"/>
  <c r="AH4" i="11" s="1"/>
  <c r="AH4" i="10" s="1"/>
  <c r="AH3" i="11" a="1"/>
  <c r="AH3" i="11" s="1"/>
  <c r="AH3" i="10" s="1"/>
  <c r="AO49" i="11" a="1"/>
  <c r="AO49" i="11" s="1"/>
  <c r="AO48" i="11" a="1"/>
  <c r="AO48" i="11" s="1"/>
  <c r="AO47" i="11" a="1"/>
  <c r="AO47" i="11" s="1"/>
  <c r="AO46" i="11" a="1"/>
  <c r="AO46" i="11" s="1"/>
  <c r="AO45" i="11" a="1"/>
  <c r="AO45" i="11" s="1"/>
  <c r="AO44" i="11" a="1"/>
  <c r="AO44" i="11" s="1"/>
  <c r="AO44" i="10" s="1"/>
  <c r="AO42" i="11" a="1"/>
  <c r="AO42" i="11" s="1"/>
  <c r="AO42" i="10" s="1"/>
  <c r="AO41" i="11" a="1"/>
  <c r="AO41" i="11" s="1"/>
  <c r="AO41" i="10" s="1"/>
  <c r="AO40" i="11" a="1"/>
  <c r="AO40" i="11" s="1"/>
  <c r="AO40" i="10" s="1"/>
  <c r="AO39" i="11" a="1"/>
  <c r="AO39" i="11" s="1"/>
  <c r="AO39" i="10" s="1"/>
  <c r="AO38" i="11" a="1"/>
  <c r="AO38" i="11" s="1"/>
  <c r="AO38" i="10" s="1"/>
  <c r="AO37" i="11" a="1"/>
  <c r="AO37" i="11" s="1"/>
  <c r="AO37" i="10" s="1"/>
  <c r="AO36" i="11" a="1"/>
  <c r="AO36" i="11" s="1"/>
  <c r="AO36" i="10" s="1"/>
  <c r="AO35" i="11" a="1"/>
  <c r="AO35" i="11" s="1"/>
  <c r="AO35" i="10" s="1"/>
  <c r="AO34" i="11" a="1"/>
  <c r="AO34" i="11" s="1"/>
  <c r="AO34" i="10" s="1"/>
  <c r="AO33" i="11" a="1"/>
  <c r="AO33" i="11" s="1"/>
  <c r="AO33" i="10" s="1"/>
  <c r="AO32" i="11" a="1"/>
  <c r="AO32" i="11" s="1"/>
  <c r="AO32" i="10" s="1"/>
  <c r="AO31" i="11" a="1"/>
  <c r="AO31" i="11" s="1"/>
  <c r="AO31" i="10" s="1"/>
  <c r="AO30" i="11" a="1"/>
  <c r="AO30" i="11" s="1"/>
  <c r="AO30" i="10" s="1"/>
  <c r="AO29" i="11" a="1"/>
  <c r="AO29" i="11" s="1"/>
  <c r="AO29" i="10" s="1"/>
  <c r="AO28" i="11" a="1"/>
  <c r="AO28" i="11" s="1"/>
  <c r="AO28" i="10" s="1"/>
  <c r="AO27" i="11" a="1"/>
  <c r="AO27" i="11" s="1"/>
  <c r="AO27" i="10" s="1"/>
  <c r="AO26" i="11" a="1"/>
  <c r="AO26" i="11" s="1"/>
  <c r="AO26" i="10" s="1"/>
  <c r="AO25" i="11" a="1"/>
  <c r="AO25" i="11" s="1"/>
  <c r="AO25" i="10" s="1"/>
  <c r="AO24" i="11" a="1"/>
  <c r="AO24" i="11" s="1"/>
  <c r="AO24" i="10" s="1"/>
  <c r="AO23" i="11" a="1"/>
  <c r="AO23" i="11" s="1"/>
  <c r="AO23" i="10" s="1"/>
  <c r="AO22" i="11" a="1"/>
  <c r="AO22" i="11" s="1"/>
  <c r="AO22" i="10" s="1"/>
  <c r="AO21" i="11" a="1"/>
  <c r="AO21" i="11" s="1"/>
  <c r="AO21" i="10" s="1"/>
  <c r="AO20" i="11" a="1"/>
  <c r="AO20" i="11" s="1"/>
  <c r="AO20" i="10" s="1"/>
  <c r="AO19" i="11" a="1"/>
  <c r="AO19" i="11" s="1"/>
  <c r="AO19" i="10" s="1"/>
  <c r="AO18" i="11" a="1"/>
  <c r="AO18" i="11" s="1"/>
  <c r="AO18" i="10" s="1"/>
  <c r="AO17" i="11" a="1"/>
  <c r="AO17" i="11" s="1"/>
  <c r="AO17" i="10" s="1"/>
  <c r="AO16" i="11" a="1"/>
  <c r="AO16" i="11" s="1"/>
  <c r="AO16" i="10" s="1"/>
  <c r="AO15" i="11" a="1"/>
  <c r="AO15" i="11" s="1"/>
  <c r="AO15" i="10" s="1"/>
  <c r="AO14" i="11" a="1"/>
  <c r="AO14" i="11" s="1"/>
  <c r="AO14" i="10" s="1"/>
  <c r="AO13" i="11" a="1"/>
  <c r="AO13" i="11" s="1"/>
  <c r="AO13" i="10" s="1"/>
  <c r="AO12" i="11" a="1"/>
  <c r="AO12" i="11" s="1"/>
  <c r="AO12" i="10" s="1"/>
  <c r="AO11" i="11" a="1"/>
  <c r="AO11" i="11" s="1"/>
  <c r="AO11" i="10" s="1"/>
  <c r="AO10" i="11" a="1"/>
  <c r="AO10" i="11" s="1"/>
  <c r="AO10" i="10" s="1"/>
  <c r="AO9" i="11" a="1"/>
  <c r="AO9" i="11" s="1"/>
  <c r="AO9" i="10" s="1"/>
  <c r="AO8" i="11" a="1"/>
  <c r="AO8" i="11" s="1"/>
  <c r="AO8" i="10" s="1"/>
  <c r="AO7" i="11" a="1"/>
  <c r="AO7" i="11" s="1"/>
  <c r="AO7" i="10" s="1"/>
  <c r="AO6" i="11" a="1"/>
  <c r="AO6" i="11" s="1"/>
  <c r="AO6" i="10" s="1"/>
  <c r="AO5" i="11" a="1"/>
  <c r="AO5" i="11" s="1"/>
  <c r="AO5" i="10" s="1"/>
  <c r="AO4" i="11" a="1"/>
  <c r="AO4" i="11" s="1"/>
  <c r="AO4" i="10" s="1"/>
  <c r="AO3" i="11" a="1"/>
  <c r="AO3" i="11" s="1"/>
  <c r="AO3" i="10" s="1"/>
  <c r="AT49" i="11" a="1"/>
  <c r="AT49" i="11" s="1"/>
  <c r="AT48" i="11" a="1"/>
  <c r="AT48" i="11" s="1"/>
  <c r="AT47" i="11" a="1"/>
  <c r="AT47" i="11" s="1"/>
  <c r="AT46" i="11" a="1"/>
  <c r="AT46" i="11" s="1"/>
  <c r="AT45" i="11" a="1"/>
  <c r="AT45" i="11" s="1"/>
  <c r="AT44" i="11" a="1"/>
  <c r="AT44" i="11" s="1"/>
  <c r="AT44" i="10" s="1"/>
  <c r="AT42" i="11" a="1"/>
  <c r="AT42" i="11" s="1"/>
  <c r="AT42" i="10" s="1"/>
  <c r="AT41" i="11" a="1"/>
  <c r="AT41" i="11" s="1"/>
  <c r="AT41" i="10" s="1"/>
  <c r="AT40" i="11" a="1"/>
  <c r="AT40" i="11" s="1"/>
  <c r="AT40" i="10" s="1"/>
  <c r="AT39" i="11" a="1"/>
  <c r="AT39" i="11" s="1"/>
  <c r="AT39" i="10" s="1"/>
  <c r="AT38" i="11" a="1"/>
  <c r="AT38" i="11" s="1"/>
  <c r="AT38" i="10" s="1"/>
  <c r="AT37" i="11" a="1"/>
  <c r="AT37" i="11" s="1"/>
  <c r="AT37" i="10" s="1"/>
  <c r="AT36" i="11" a="1"/>
  <c r="AT36" i="11" s="1"/>
  <c r="AT36" i="10" s="1"/>
  <c r="AT35" i="11" a="1"/>
  <c r="AT35" i="11" s="1"/>
  <c r="AT35" i="10" s="1"/>
  <c r="AT34" i="11" a="1"/>
  <c r="AT34" i="11" s="1"/>
  <c r="AT34" i="10" s="1"/>
  <c r="AT33" i="11" a="1"/>
  <c r="AT33" i="11" s="1"/>
  <c r="AT33" i="10" s="1"/>
  <c r="AT32" i="11" a="1"/>
  <c r="AT32" i="11" s="1"/>
  <c r="AT32" i="10" s="1"/>
  <c r="AT31" i="11" a="1"/>
  <c r="AT31" i="11" s="1"/>
  <c r="AT31" i="10" s="1"/>
  <c r="AT30" i="11" a="1"/>
  <c r="AT30" i="11" s="1"/>
  <c r="AT30" i="10" s="1"/>
  <c r="AT29" i="11" a="1"/>
  <c r="AT29" i="11" s="1"/>
  <c r="AT29" i="10" s="1"/>
  <c r="AT28" i="11" a="1"/>
  <c r="AT28" i="11" s="1"/>
  <c r="AT28" i="10" s="1"/>
  <c r="AT27" i="11" a="1"/>
  <c r="AT27" i="11" s="1"/>
  <c r="AT27" i="10" s="1"/>
  <c r="AT26" i="11" a="1"/>
  <c r="AT26" i="11" s="1"/>
  <c r="AT26" i="10" s="1"/>
  <c r="AT25" i="11" a="1"/>
  <c r="AT25" i="11" s="1"/>
  <c r="AT25" i="10" s="1"/>
  <c r="AT24" i="11" a="1"/>
  <c r="AT24" i="11" s="1"/>
  <c r="AT24" i="10" s="1"/>
  <c r="AT23" i="11" a="1"/>
  <c r="AT23" i="11" s="1"/>
  <c r="AT23" i="10" s="1"/>
  <c r="AT22" i="11" a="1"/>
  <c r="AT22" i="11" s="1"/>
  <c r="AT22" i="10" s="1"/>
  <c r="AT21" i="11" a="1"/>
  <c r="AT21" i="11" s="1"/>
  <c r="AT21" i="10" s="1"/>
  <c r="AT20" i="11" a="1"/>
  <c r="AT20" i="11" s="1"/>
  <c r="AT20" i="10" s="1"/>
  <c r="AT19" i="11" a="1"/>
  <c r="AT19" i="11" s="1"/>
  <c r="AT19" i="10" s="1"/>
  <c r="AT18" i="11" a="1"/>
  <c r="AT18" i="11" s="1"/>
  <c r="AT18" i="10" s="1"/>
  <c r="AT17" i="11" a="1"/>
  <c r="AT17" i="11" s="1"/>
  <c r="AT17" i="10" s="1"/>
  <c r="AT16" i="11" a="1"/>
  <c r="AT16" i="11" s="1"/>
  <c r="AT16" i="10" s="1"/>
  <c r="AT15" i="11" a="1"/>
  <c r="AT15" i="11" s="1"/>
  <c r="AT15" i="10" s="1"/>
  <c r="AT14" i="11" a="1"/>
  <c r="AT14" i="11" s="1"/>
  <c r="AT14" i="10" s="1"/>
  <c r="AT13" i="11" a="1"/>
  <c r="AT13" i="11" s="1"/>
  <c r="AT13" i="10" s="1"/>
  <c r="AT12" i="11" a="1"/>
  <c r="AT12" i="11" s="1"/>
  <c r="AT12" i="10" s="1"/>
  <c r="AT11" i="11" a="1"/>
  <c r="AT11" i="11" s="1"/>
  <c r="AT11" i="10" s="1"/>
  <c r="AT10" i="11" a="1"/>
  <c r="AT10" i="11" s="1"/>
  <c r="AT10" i="10" s="1"/>
  <c r="AT9" i="11" a="1"/>
  <c r="AT9" i="11" s="1"/>
  <c r="AT9" i="10" s="1"/>
  <c r="AT8" i="11" a="1"/>
  <c r="AT8" i="11" s="1"/>
  <c r="AT8" i="10" s="1"/>
  <c r="AT7" i="11" a="1"/>
  <c r="AT7" i="11" s="1"/>
  <c r="AT7" i="10" s="1"/>
  <c r="AT6" i="11" a="1"/>
  <c r="AT6" i="11" s="1"/>
  <c r="AT6" i="10" s="1"/>
  <c r="AT5" i="11" a="1"/>
  <c r="AT5" i="11" s="1"/>
  <c r="AT5" i="10" s="1"/>
  <c r="AT4" i="11" a="1"/>
  <c r="AT4" i="11" s="1"/>
  <c r="AT4" i="10" s="1"/>
  <c r="AT3" i="11" a="1"/>
  <c r="AT3" i="11" s="1"/>
  <c r="AT3" i="10" s="1"/>
  <c r="BA49" i="11" a="1"/>
  <c r="BA49" i="11" s="1"/>
  <c r="BA48" i="11" a="1"/>
  <c r="BA48" i="11" s="1"/>
  <c r="BA47" i="11" a="1"/>
  <c r="BA47" i="11" s="1"/>
  <c r="BA46" i="11" a="1"/>
  <c r="BA46" i="11" s="1"/>
  <c r="BA45" i="11" a="1"/>
  <c r="BA45" i="11" s="1"/>
  <c r="BA44" i="11" a="1"/>
  <c r="BA44" i="11" s="1"/>
  <c r="BA44" i="10" s="1"/>
  <c r="BA42" i="11" a="1"/>
  <c r="BA42" i="11" s="1"/>
  <c r="BA42" i="10" s="1"/>
  <c r="BA41" i="11" a="1"/>
  <c r="BA41" i="11" s="1"/>
  <c r="BA41" i="10" s="1"/>
  <c r="BA40" i="11" a="1"/>
  <c r="BA40" i="11" s="1"/>
  <c r="BA40" i="10" s="1"/>
  <c r="BA39" i="11" a="1"/>
  <c r="BA39" i="11" s="1"/>
  <c r="BA39" i="10" s="1"/>
  <c r="BA38" i="11" a="1"/>
  <c r="BA38" i="11" s="1"/>
  <c r="BA38" i="10" s="1"/>
  <c r="BA37" i="11" a="1"/>
  <c r="BA37" i="11" s="1"/>
  <c r="BA37" i="10" s="1"/>
  <c r="BA36" i="11" a="1"/>
  <c r="BA36" i="11" s="1"/>
  <c r="BA36" i="10" s="1"/>
  <c r="BA35" i="11" a="1"/>
  <c r="BA35" i="11" s="1"/>
  <c r="BA35" i="10" s="1"/>
  <c r="BA34" i="11" a="1"/>
  <c r="BA34" i="11" s="1"/>
  <c r="BA34" i="10" s="1"/>
  <c r="BA33" i="11" a="1"/>
  <c r="BA33" i="11" s="1"/>
  <c r="BA33" i="10" s="1"/>
  <c r="BA32" i="11" a="1"/>
  <c r="BA32" i="11" s="1"/>
  <c r="BA32" i="10" s="1"/>
  <c r="BA31" i="11" a="1"/>
  <c r="BA31" i="11" s="1"/>
  <c r="BA31" i="10" s="1"/>
  <c r="BA30" i="11" a="1"/>
  <c r="BA30" i="11" s="1"/>
  <c r="BA30" i="10" s="1"/>
  <c r="BA29" i="11" a="1"/>
  <c r="BA29" i="11" s="1"/>
  <c r="BA29" i="10" s="1"/>
  <c r="BA28" i="11" a="1"/>
  <c r="BA28" i="11" s="1"/>
  <c r="BA28" i="10" s="1"/>
  <c r="BA27" i="11" a="1"/>
  <c r="BA27" i="11" s="1"/>
  <c r="BA27" i="10" s="1"/>
  <c r="BA26" i="11" a="1"/>
  <c r="BA26" i="11" s="1"/>
  <c r="BA26" i="10" s="1"/>
  <c r="BA25" i="11" a="1"/>
  <c r="BA25" i="11" s="1"/>
  <c r="BA25" i="10" s="1"/>
  <c r="BA24" i="11" a="1"/>
  <c r="BA24" i="11" s="1"/>
  <c r="BA24" i="10" s="1"/>
  <c r="BA23" i="11" a="1"/>
  <c r="BA23" i="11" s="1"/>
  <c r="BA23" i="10" s="1"/>
  <c r="BA22" i="11" a="1"/>
  <c r="BA22" i="11" s="1"/>
  <c r="BA22" i="10" s="1"/>
  <c r="BA21" i="11" a="1"/>
  <c r="BA21" i="11" s="1"/>
  <c r="BA21" i="10" s="1"/>
  <c r="BA20" i="11" a="1"/>
  <c r="BA20" i="11" s="1"/>
  <c r="BA20" i="10" s="1"/>
  <c r="BA19" i="11" a="1"/>
  <c r="BA19" i="11" s="1"/>
  <c r="BA19" i="10" s="1"/>
  <c r="BA18" i="11" a="1"/>
  <c r="BA18" i="11" s="1"/>
  <c r="BA18" i="10" s="1"/>
  <c r="BA17" i="11" a="1"/>
  <c r="BA17" i="11" s="1"/>
  <c r="BA17" i="10" s="1"/>
  <c r="BA16" i="11" a="1"/>
  <c r="BA16" i="11" s="1"/>
  <c r="BA16" i="10" s="1"/>
  <c r="BA15" i="11" a="1"/>
  <c r="BA15" i="11" s="1"/>
  <c r="BA15" i="10" s="1"/>
  <c r="BA14" i="11" a="1"/>
  <c r="BA14" i="11" s="1"/>
  <c r="BA14" i="10" s="1"/>
  <c r="BA13" i="11" a="1"/>
  <c r="BA13" i="11" s="1"/>
  <c r="BA13" i="10" s="1"/>
  <c r="BA12" i="11" a="1"/>
  <c r="BA12" i="11" s="1"/>
  <c r="BA12" i="10" s="1"/>
  <c r="BA11" i="11" a="1"/>
  <c r="BA11" i="11" s="1"/>
  <c r="BA11" i="10" s="1"/>
  <c r="BA10" i="11" a="1"/>
  <c r="BA10" i="11" s="1"/>
  <c r="BA10" i="10" s="1"/>
  <c r="BA9" i="11" a="1"/>
  <c r="BA9" i="11" s="1"/>
  <c r="BA9" i="10" s="1"/>
  <c r="BA8" i="11" a="1"/>
  <c r="BA8" i="11" s="1"/>
  <c r="BA8" i="10" s="1"/>
  <c r="BA7" i="11" a="1"/>
  <c r="BA7" i="11" s="1"/>
  <c r="BA7" i="10" s="1"/>
  <c r="BA6" i="11" a="1"/>
  <c r="BA6" i="11" s="1"/>
  <c r="BA6" i="10" s="1"/>
  <c r="BA5" i="11" a="1"/>
  <c r="BA5" i="11" s="1"/>
  <c r="BA5" i="10" s="1"/>
  <c r="BA4" i="11" a="1"/>
  <c r="BA4" i="11" s="1"/>
  <c r="BA4" i="10" s="1"/>
  <c r="BA3" i="11" a="1"/>
  <c r="BA3" i="11" s="1"/>
  <c r="BA3" i="10" s="1"/>
  <c r="E49" i="11" a="1"/>
  <c r="E49" i="11" s="1"/>
  <c r="E48" i="11" a="1"/>
  <c r="E48" i="11" s="1"/>
  <c r="E47" i="11" a="1"/>
  <c r="E47" i="11" s="1"/>
  <c r="E46" i="11" a="1"/>
  <c r="E46" i="11" s="1"/>
  <c r="E45" i="11" a="1"/>
  <c r="E45" i="11" s="1"/>
  <c r="E44" i="11" a="1"/>
  <c r="E44" i="11" s="1"/>
  <c r="E44" i="10" s="1"/>
  <c r="E42" i="11" a="1"/>
  <c r="E42" i="11" s="1"/>
  <c r="E42" i="10" s="1"/>
  <c r="E41" i="11" a="1"/>
  <c r="E41" i="11" s="1"/>
  <c r="E41" i="10" s="1"/>
  <c r="E40" i="11" a="1"/>
  <c r="E40" i="11" s="1"/>
  <c r="E40" i="10" s="1"/>
  <c r="E39" i="11" a="1"/>
  <c r="E39" i="11" s="1"/>
  <c r="E39" i="10" s="1"/>
  <c r="E38" i="11" a="1"/>
  <c r="E38" i="11" s="1"/>
  <c r="E38" i="10" s="1"/>
  <c r="E37" i="11" a="1"/>
  <c r="E37" i="11" s="1"/>
  <c r="E37" i="10" s="1"/>
  <c r="E36" i="11" a="1"/>
  <c r="E36" i="11" s="1"/>
  <c r="E36" i="10" s="1"/>
  <c r="E35" i="11" a="1"/>
  <c r="E35" i="11" s="1"/>
  <c r="E35" i="10" s="1"/>
  <c r="E34" i="11" a="1"/>
  <c r="E34" i="11" s="1"/>
  <c r="E34" i="10" s="1"/>
  <c r="E33" i="11" a="1"/>
  <c r="E33" i="11" s="1"/>
  <c r="E33" i="10" s="1"/>
  <c r="E32" i="11" a="1"/>
  <c r="E32" i="11" s="1"/>
  <c r="E32" i="10" s="1"/>
  <c r="E31" i="11" a="1"/>
  <c r="E31" i="11" s="1"/>
  <c r="E31" i="10" s="1"/>
  <c r="E30" i="11" a="1"/>
  <c r="E30" i="11" s="1"/>
  <c r="E30" i="10" s="1"/>
  <c r="E29" i="11" a="1"/>
  <c r="E29" i="11" s="1"/>
  <c r="E29" i="10" s="1"/>
  <c r="E28" i="11" a="1"/>
  <c r="E28" i="11" s="1"/>
  <c r="E28" i="10" s="1"/>
  <c r="E27" i="11" a="1"/>
  <c r="E27" i="11" s="1"/>
  <c r="E27" i="10" s="1"/>
  <c r="E26" i="11" a="1"/>
  <c r="E26" i="11" s="1"/>
  <c r="E26" i="10" s="1"/>
  <c r="E25" i="11" a="1"/>
  <c r="E25" i="11" s="1"/>
  <c r="E25" i="10" s="1"/>
  <c r="E24" i="11" a="1"/>
  <c r="E24" i="11" s="1"/>
  <c r="E24" i="10" s="1"/>
  <c r="E23" i="11" a="1"/>
  <c r="E23" i="11" s="1"/>
  <c r="E23" i="10" s="1"/>
  <c r="E22" i="11" a="1"/>
  <c r="E22" i="11" s="1"/>
  <c r="E22" i="10" s="1"/>
  <c r="E21" i="11" a="1"/>
  <c r="E21" i="11" s="1"/>
  <c r="E21" i="10" s="1"/>
  <c r="E20" i="11" a="1"/>
  <c r="E20" i="11" s="1"/>
  <c r="E20" i="10" s="1"/>
  <c r="E19" i="11" a="1"/>
  <c r="E19" i="11" s="1"/>
  <c r="E19" i="10" s="1"/>
  <c r="E18" i="11" a="1"/>
  <c r="E18" i="11" s="1"/>
  <c r="E18" i="10" s="1"/>
  <c r="E17" i="11" a="1"/>
  <c r="E17" i="11" s="1"/>
  <c r="E17" i="10" s="1"/>
  <c r="E16" i="11" a="1"/>
  <c r="E16" i="11" s="1"/>
  <c r="E16" i="10" s="1"/>
  <c r="E15" i="11" a="1"/>
  <c r="E15" i="11" s="1"/>
  <c r="E15" i="10" s="1"/>
  <c r="E14" i="11" a="1"/>
  <c r="E14" i="11" s="1"/>
  <c r="E14" i="10" s="1"/>
  <c r="E13" i="11" a="1"/>
  <c r="E13" i="11" s="1"/>
  <c r="E13" i="10" s="1"/>
  <c r="E12" i="11" a="1"/>
  <c r="E12" i="11" s="1"/>
  <c r="E12" i="10" s="1"/>
  <c r="E11" i="11" a="1"/>
  <c r="E11" i="11" s="1"/>
  <c r="E11" i="10" s="1"/>
  <c r="E10" i="11" a="1"/>
  <c r="E10" i="11" s="1"/>
  <c r="E10" i="10" s="1"/>
  <c r="E9" i="11" a="1"/>
  <c r="E9" i="11" s="1"/>
  <c r="E9" i="10" s="1"/>
  <c r="E8" i="11" a="1"/>
  <c r="E8" i="11" s="1"/>
  <c r="E8" i="10" s="1"/>
  <c r="E7" i="11" a="1"/>
  <c r="E7" i="11" s="1"/>
  <c r="E7" i="10" s="1"/>
  <c r="E6" i="11" a="1"/>
  <c r="E6" i="11" s="1"/>
  <c r="E6" i="10" s="1"/>
  <c r="E5" i="11" a="1"/>
  <c r="E5" i="11" s="1"/>
  <c r="E5" i="10" s="1"/>
  <c r="E4" i="11" a="1"/>
  <c r="E4" i="11" s="1"/>
  <c r="E4" i="10" s="1"/>
  <c r="E3" i="11" a="1"/>
  <c r="E3" i="11" s="1"/>
  <c r="AQ10" i="3"/>
  <c r="AJ46" i="3"/>
  <c r="AJ7" i="3"/>
  <c r="AJ6" i="3"/>
  <c r="AJ4" i="3"/>
  <c r="AJ3" i="3"/>
  <c r="AJ8" i="3"/>
  <c r="AJ12" i="3"/>
  <c r="AJ11" i="3"/>
  <c r="AJ10" i="3"/>
  <c r="AJ9" i="3"/>
  <c r="AJ13" i="3"/>
  <c r="AJ16" i="3"/>
  <c r="AJ15" i="3"/>
  <c r="AJ14" i="3"/>
  <c r="AJ17" i="3"/>
  <c r="AJ22" i="3"/>
  <c r="AJ21" i="3"/>
  <c r="AJ20" i="3"/>
  <c r="AJ19" i="3"/>
  <c r="AJ18" i="3"/>
  <c r="AJ23" i="3"/>
  <c r="AJ25" i="3"/>
  <c r="AJ24" i="3"/>
  <c r="AJ35" i="3"/>
  <c r="AJ36" i="3"/>
  <c r="AJ37" i="3"/>
  <c r="AJ38" i="3"/>
  <c r="AJ26" i="3"/>
  <c r="AJ28" i="3"/>
  <c r="AJ27" i="3"/>
  <c r="AJ29" i="3"/>
  <c r="AJ47" i="3"/>
  <c r="AR2" i="3"/>
  <c r="AR10" i="3"/>
  <c r="AS10" i="3" s="1"/>
  <c r="AQ6" i="3"/>
  <c r="S22" i="3"/>
  <c r="U17" i="3" s="1"/>
  <c r="U3" i="3"/>
  <c r="U4" i="3"/>
  <c r="U5" i="3"/>
  <c r="U6" i="3"/>
  <c r="U7" i="3"/>
  <c r="U8" i="3"/>
  <c r="U9" i="3"/>
  <c r="U10" i="3"/>
  <c r="U11" i="3"/>
  <c r="U12" i="3"/>
  <c r="U14" i="3"/>
  <c r="U16" i="3"/>
  <c r="U18" i="3"/>
  <c r="U19" i="3"/>
  <c r="U20" i="3"/>
  <c r="U21" i="3"/>
  <c r="AJ51" i="3" l="1"/>
  <c r="BB43" i="11" a="1"/>
  <c r="BB43" i="11" s="1"/>
  <c r="BB43" i="10" s="1"/>
  <c r="AU43" i="11" a="1"/>
  <c r="AU43" i="11" s="1"/>
  <c r="AU43" i="10" s="1"/>
  <c r="AP43" i="11" a="1"/>
  <c r="AP43" i="11" s="1"/>
  <c r="AP43" i="10" s="1"/>
  <c r="AI43" i="11" a="1"/>
  <c r="AI43" i="11" s="1"/>
  <c r="AI43" i="10" s="1"/>
  <c r="AD43" i="11" a="1"/>
  <c r="AD43" i="11" s="1"/>
  <c r="AD43" i="10" s="1"/>
  <c r="W43" i="11" a="1"/>
  <c r="W43" i="11" s="1"/>
  <c r="W43" i="10" s="1"/>
  <c r="V2" i="10"/>
  <c r="Q2" i="10"/>
  <c r="R43" i="11" a="1"/>
  <c r="R43" i="11" s="1"/>
  <c r="R43" i="10" s="1"/>
  <c r="F43" i="11" a="1"/>
  <c r="F43" i="11" s="1"/>
  <c r="F43" i="10" s="1"/>
  <c r="E45" i="10"/>
  <c r="E46" i="10"/>
  <c r="E47" i="10"/>
  <c r="E48" i="10"/>
  <c r="E49" i="10"/>
  <c r="BA45" i="10"/>
  <c r="BA46" i="10"/>
  <c r="BA47" i="10"/>
  <c r="BA48" i="10"/>
  <c r="BA49" i="10"/>
  <c r="AT45" i="10"/>
  <c r="AT46" i="10"/>
  <c r="AT47" i="10"/>
  <c r="AT48" i="10"/>
  <c r="AT49" i="10"/>
  <c r="AO45" i="10"/>
  <c r="AO46" i="10"/>
  <c r="AO47" i="10"/>
  <c r="AO48" i="10"/>
  <c r="AO49" i="10"/>
  <c r="AH45" i="10"/>
  <c r="AH46" i="10"/>
  <c r="AH47" i="10"/>
  <c r="AH48" i="10"/>
  <c r="AH49" i="10"/>
  <c r="AC45" i="10"/>
  <c r="AC46" i="10"/>
  <c r="AC47" i="10"/>
  <c r="AC48" i="10"/>
  <c r="AC49" i="10"/>
  <c r="V45" i="10"/>
  <c r="V46" i="10"/>
  <c r="V47" i="10"/>
  <c r="V48" i="10"/>
  <c r="V49" i="10"/>
  <c r="Q45" i="10"/>
  <c r="Q46" i="10"/>
  <c r="Q47" i="10"/>
  <c r="Q48" i="10"/>
  <c r="Q49" i="10"/>
  <c r="AR9" i="3"/>
  <c r="AS9" i="3" s="1"/>
  <c r="W5" i="11" a="1"/>
  <c r="W5" i="11" s="1"/>
  <c r="W5" i="10" s="1"/>
  <c r="V5" i="10"/>
  <c r="F55" i="10"/>
  <c r="G55" i="10" s="1"/>
  <c r="F3" i="11" a="1"/>
  <c r="F3" i="11" s="1"/>
  <c r="F3" i="10" s="1"/>
  <c r="E3" i="10"/>
  <c r="BB3" i="11" a="1"/>
  <c r="BB3" i="11" s="1"/>
  <c r="BB3" i="10" s="1"/>
  <c r="BA50" i="11"/>
  <c r="BB2" i="11" a="1"/>
  <c r="BB2" i="11" s="1"/>
  <c r="BB4" i="11" a="1"/>
  <c r="BB4" i="11" s="1"/>
  <c r="BB4" i="10" s="1"/>
  <c r="BB5" i="11" a="1"/>
  <c r="BB5" i="11" s="1"/>
  <c r="BB5" i="10" s="1"/>
  <c r="BB6" i="11" a="1"/>
  <c r="BB6" i="11" s="1"/>
  <c r="BB6" i="10" s="1"/>
  <c r="BB7" i="11" a="1"/>
  <c r="BB7" i="11" s="1"/>
  <c r="BB7" i="10" s="1"/>
  <c r="BB8" i="11" a="1"/>
  <c r="BB8" i="11" s="1"/>
  <c r="BB8" i="10" s="1"/>
  <c r="BB9" i="11" a="1"/>
  <c r="BB9" i="11" s="1"/>
  <c r="BB9" i="10" s="1"/>
  <c r="BB10" i="11" a="1"/>
  <c r="BB10" i="11" s="1"/>
  <c r="BB10" i="10" s="1"/>
  <c r="BB11" i="11" a="1"/>
  <c r="BB11" i="11" s="1"/>
  <c r="BB11" i="10" s="1"/>
  <c r="BB12" i="11" a="1"/>
  <c r="BB12" i="11" s="1"/>
  <c r="BB12" i="10" s="1"/>
  <c r="BB13" i="11" a="1"/>
  <c r="BB13" i="11" s="1"/>
  <c r="BB13" i="10" s="1"/>
  <c r="BB14" i="11" a="1"/>
  <c r="BB14" i="11" s="1"/>
  <c r="BB14" i="10" s="1"/>
  <c r="BB15" i="11" a="1"/>
  <c r="BB15" i="11" s="1"/>
  <c r="BB15" i="10" s="1"/>
  <c r="BB16" i="11" a="1"/>
  <c r="BB16" i="11" s="1"/>
  <c r="BB16" i="10" s="1"/>
  <c r="BB17" i="11" a="1"/>
  <c r="BB17" i="11" s="1"/>
  <c r="BB17" i="10" s="1"/>
  <c r="BB18" i="11" a="1"/>
  <c r="BB18" i="11" s="1"/>
  <c r="BB18" i="10" s="1"/>
  <c r="BB19" i="11" a="1"/>
  <c r="BB19" i="11" s="1"/>
  <c r="BB19" i="10" s="1"/>
  <c r="BB20" i="11" a="1"/>
  <c r="BB20" i="11" s="1"/>
  <c r="BB20" i="10" s="1"/>
  <c r="BB21" i="11" a="1"/>
  <c r="BB21" i="11" s="1"/>
  <c r="BB21" i="10" s="1"/>
  <c r="BB22" i="11" a="1"/>
  <c r="BB22" i="11" s="1"/>
  <c r="BB22" i="10" s="1"/>
  <c r="BB23" i="11" a="1"/>
  <c r="BB23" i="11" s="1"/>
  <c r="BB23" i="10" s="1"/>
  <c r="BB24" i="11" a="1"/>
  <c r="BB24" i="11" s="1"/>
  <c r="BB24" i="10" s="1"/>
  <c r="BB25" i="11" a="1"/>
  <c r="BB25" i="11" s="1"/>
  <c r="BB25" i="10" s="1"/>
  <c r="BB26" i="11" a="1"/>
  <c r="BB26" i="11" s="1"/>
  <c r="BB26" i="10" s="1"/>
  <c r="BB27" i="11" a="1"/>
  <c r="BB27" i="11" s="1"/>
  <c r="BB27" i="10" s="1"/>
  <c r="BB28" i="11" a="1"/>
  <c r="BB28" i="11" s="1"/>
  <c r="BB28" i="10" s="1"/>
  <c r="BB29" i="11" a="1"/>
  <c r="BB29" i="11" s="1"/>
  <c r="BB29" i="10" s="1"/>
  <c r="BB30" i="11" a="1"/>
  <c r="BB30" i="11" s="1"/>
  <c r="BB30" i="10" s="1"/>
  <c r="BB31" i="11" a="1"/>
  <c r="BB31" i="11" s="1"/>
  <c r="BB31" i="10" s="1"/>
  <c r="BB32" i="11" a="1"/>
  <c r="BB32" i="11" s="1"/>
  <c r="BB32" i="10" s="1"/>
  <c r="BB33" i="11" a="1"/>
  <c r="BB33" i="11" s="1"/>
  <c r="BB33" i="10" s="1"/>
  <c r="BB34" i="11" a="1"/>
  <c r="BB34" i="11" s="1"/>
  <c r="BB34" i="10" s="1"/>
  <c r="BB35" i="11" a="1"/>
  <c r="BB35" i="11" s="1"/>
  <c r="BB35" i="10" s="1"/>
  <c r="BB36" i="11" a="1"/>
  <c r="BB36" i="11" s="1"/>
  <c r="BB36" i="10" s="1"/>
  <c r="BB37" i="11" a="1"/>
  <c r="BB37" i="11" s="1"/>
  <c r="BB37" i="10" s="1"/>
  <c r="BB38" i="11" a="1"/>
  <c r="BB38" i="11" s="1"/>
  <c r="BB38" i="10" s="1"/>
  <c r="BB39" i="11" a="1"/>
  <c r="BB39" i="11" s="1"/>
  <c r="BB39" i="10" s="1"/>
  <c r="BB40" i="11" a="1"/>
  <c r="BB40" i="11" s="1"/>
  <c r="BB40" i="10" s="1"/>
  <c r="BB41" i="11" a="1"/>
  <c r="BB41" i="11" s="1"/>
  <c r="BB41" i="10" s="1"/>
  <c r="BB42" i="11" a="1"/>
  <c r="BB42" i="11" s="1"/>
  <c r="BB42" i="10" s="1"/>
  <c r="BB44" i="11" a="1"/>
  <c r="BB44" i="11" s="1"/>
  <c r="BB44" i="10" s="1"/>
  <c r="BB45" i="11" a="1"/>
  <c r="BB45" i="11" s="1"/>
  <c r="BB45" i="10" s="1"/>
  <c r="BB46" i="11" a="1"/>
  <c r="BB46" i="11" s="1"/>
  <c r="BB46" i="10" s="1"/>
  <c r="BB47" i="11" a="1"/>
  <c r="BB47" i="11" s="1"/>
  <c r="BB47" i="10" s="1"/>
  <c r="BB48" i="11" a="1"/>
  <c r="BB48" i="11" s="1"/>
  <c r="BB48" i="10" s="1"/>
  <c r="BB49" i="11" a="1"/>
  <c r="BB49" i="11" s="1"/>
  <c r="BB49" i="10" s="1"/>
  <c r="AU3" i="11" a="1"/>
  <c r="AU3" i="11" s="1"/>
  <c r="AU3" i="10" s="1"/>
  <c r="AT50" i="11"/>
  <c r="AU2" i="11" a="1"/>
  <c r="AU2" i="11" s="1"/>
  <c r="AU4" i="11" a="1"/>
  <c r="AU4" i="11" s="1"/>
  <c r="AU4" i="10" s="1"/>
  <c r="AU5" i="11" a="1"/>
  <c r="AU5" i="11" s="1"/>
  <c r="AU5" i="10" s="1"/>
  <c r="AU6" i="11" a="1"/>
  <c r="AU6" i="11" s="1"/>
  <c r="AU6" i="10" s="1"/>
  <c r="AU7" i="11" a="1"/>
  <c r="AU7" i="11" s="1"/>
  <c r="AU7" i="10" s="1"/>
  <c r="AU8" i="11" a="1"/>
  <c r="AU8" i="11" s="1"/>
  <c r="AU8" i="10" s="1"/>
  <c r="AU9" i="11" a="1"/>
  <c r="AU9" i="11" s="1"/>
  <c r="AU9" i="10" s="1"/>
  <c r="AU10" i="11" a="1"/>
  <c r="AU10" i="11" s="1"/>
  <c r="AU10" i="10" s="1"/>
  <c r="AU11" i="11" a="1"/>
  <c r="AU11" i="11" s="1"/>
  <c r="AU11" i="10" s="1"/>
  <c r="AU12" i="11" a="1"/>
  <c r="AU12" i="11" s="1"/>
  <c r="AU12" i="10" s="1"/>
  <c r="AU13" i="11" a="1"/>
  <c r="AU13" i="11" s="1"/>
  <c r="AU13" i="10" s="1"/>
  <c r="AU14" i="11" a="1"/>
  <c r="AU14" i="11" s="1"/>
  <c r="AU14" i="10" s="1"/>
  <c r="AU15" i="11" a="1"/>
  <c r="AU15" i="11" s="1"/>
  <c r="AU15" i="10" s="1"/>
  <c r="AU16" i="11" a="1"/>
  <c r="AU16" i="11" s="1"/>
  <c r="AU16" i="10" s="1"/>
  <c r="AU17" i="11" a="1"/>
  <c r="AU17" i="11" s="1"/>
  <c r="AU17" i="10" s="1"/>
  <c r="AU18" i="11" a="1"/>
  <c r="AU18" i="11" s="1"/>
  <c r="AU18" i="10" s="1"/>
  <c r="AU19" i="11" a="1"/>
  <c r="AU19" i="11" s="1"/>
  <c r="AU19" i="10" s="1"/>
  <c r="AU20" i="11" a="1"/>
  <c r="AU20" i="11" s="1"/>
  <c r="AU20" i="10" s="1"/>
  <c r="AU21" i="11" a="1"/>
  <c r="AU21" i="11" s="1"/>
  <c r="AU21" i="10" s="1"/>
  <c r="AU22" i="11" a="1"/>
  <c r="AU22" i="11" s="1"/>
  <c r="AU22" i="10" s="1"/>
  <c r="AU23" i="11" a="1"/>
  <c r="AU23" i="11" s="1"/>
  <c r="AU23" i="10" s="1"/>
  <c r="AU24" i="11" a="1"/>
  <c r="AU24" i="11" s="1"/>
  <c r="AU24" i="10" s="1"/>
  <c r="AU25" i="11" a="1"/>
  <c r="AU25" i="11" s="1"/>
  <c r="AU25" i="10" s="1"/>
  <c r="AU26" i="11" a="1"/>
  <c r="AU26" i="11" s="1"/>
  <c r="AU26" i="10" s="1"/>
  <c r="AU27" i="11" a="1"/>
  <c r="AU27" i="11" s="1"/>
  <c r="AU27" i="10" s="1"/>
  <c r="AU28" i="11" a="1"/>
  <c r="AU28" i="11" s="1"/>
  <c r="AU28" i="10" s="1"/>
  <c r="AU29" i="11" a="1"/>
  <c r="AU29" i="11" s="1"/>
  <c r="AU29" i="10" s="1"/>
  <c r="AU30" i="11" a="1"/>
  <c r="AU30" i="11" s="1"/>
  <c r="AU30" i="10" s="1"/>
  <c r="AU31" i="11" a="1"/>
  <c r="AU31" i="11" s="1"/>
  <c r="AU31" i="10" s="1"/>
  <c r="AU32" i="11" a="1"/>
  <c r="AU32" i="11" s="1"/>
  <c r="AU32" i="10" s="1"/>
  <c r="AU33" i="11" a="1"/>
  <c r="AU33" i="11" s="1"/>
  <c r="AU33" i="10" s="1"/>
  <c r="AU34" i="11" a="1"/>
  <c r="AU34" i="11" s="1"/>
  <c r="AU34" i="10" s="1"/>
  <c r="AU35" i="11" a="1"/>
  <c r="AU35" i="11" s="1"/>
  <c r="AU35" i="10" s="1"/>
  <c r="AU36" i="11" a="1"/>
  <c r="AU36" i="11" s="1"/>
  <c r="AU36" i="10" s="1"/>
  <c r="AU37" i="11" a="1"/>
  <c r="AU37" i="11" s="1"/>
  <c r="AU37" i="10" s="1"/>
  <c r="AU38" i="11" a="1"/>
  <c r="AU38" i="11" s="1"/>
  <c r="AU38" i="10" s="1"/>
  <c r="AU39" i="11" a="1"/>
  <c r="AU39" i="11" s="1"/>
  <c r="AU39" i="10" s="1"/>
  <c r="AU40" i="11" a="1"/>
  <c r="AU40" i="11" s="1"/>
  <c r="AU40" i="10" s="1"/>
  <c r="AU41" i="11" a="1"/>
  <c r="AU41" i="11" s="1"/>
  <c r="AU41" i="10" s="1"/>
  <c r="AU42" i="11" a="1"/>
  <c r="AU42" i="11" s="1"/>
  <c r="AU42" i="10" s="1"/>
  <c r="AU44" i="11" a="1"/>
  <c r="AU44" i="11" s="1"/>
  <c r="AU44" i="10" s="1"/>
  <c r="AU45" i="11" a="1"/>
  <c r="AU45" i="11" s="1"/>
  <c r="AU45" i="10" s="1"/>
  <c r="AU46" i="11" a="1"/>
  <c r="AU46" i="11" s="1"/>
  <c r="AU46" i="10" s="1"/>
  <c r="AU47" i="11" a="1"/>
  <c r="AU47" i="11" s="1"/>
  <c r="AU47" i="10" s="1"/>
  <c r="AU48" i="11" a="1"/>
  <c r="AU48" i="11" s="1"/>
  <c r="AU48" i="10" s="1"/>
  <c r="AU49" i="11" a="1"/>
  <c r="AU49" i="11" s="1"/>
  <c r="AU49" i="10" s="1"/>
  <c r="AP3" i="11" a="1"/>
  <c r="AP3" i="11" s="1"/>
  <c r="AP3" i="10" s="1"/>
  <c r="AO50" i="11"/>
  <c r="AP2" i="11" a="1"/>
  <c r="AP2" i="11" s="1"/>
  <c r="AP4" i="11" a="1"/>
  <c r="AP4" i="11" s="1"/>
  <c r="AP4" i="10" s="1"/>
  <c r="AP5" i="11" a="1"/>
  <c r="AP5" i="11" s="1"/>
  <c r="AP5" i="10" s="1"/>
  <c r="AP6" i="11" a="1"/>
  <c r="AP6" i="11" s="1"/>
  <c r="AP6" i="10" s="1"/>
  <c r="AP7" i="11" a="1"/>
  <c r="AP7" i="11" s="1"/>
  <c r="AP7" i="10" s="1"/>
  <c r="AP8" i="11" a="1"/>
  <c r="AP8" i="11" s="1"/>
  <c r="AP8" i="10" s="1"/>
  <c r="AP9" i="11" a="1"/>
  <c r="AP9" i="11" s="1"/>
  <c r="AP9" i="10" s="1"/>
  <c r="AP10" i="11" a="1"/>
  <c r="AP10" i="11" s="1"/>
  <c r="AP10" i="10" s="1"/>
  <c r="AP11" i="11" a="1"/>
  <c r="AP11" i="11" s="1"/>
  <c r="AP11" i="10" s="1"/>
  <c r="AP12" i="11" a="1"/>
  <c r="AP12" i="11" s="1"/>
  <c r="AP12" i="10" s="1"/>
  <c r="AP13" i="11" a="1"/>
  <c r="AP13" i="11" s="1"/>
  <c r="AP13" i="10" s="1"/>
  <c r="AP14" i="11" a="1"/>
  <c r="AP14" i="11" s="1"/>
  <c r="AP14" i="10" s="1"/>
  <c r="AP15" i="11" a="1"/>
  <c r="AP15" i="11" s="1"/>
  <c r="AP15" i="10" s="1"/>
  <c r="AP16" i="11" a="1"/>
  <c r="AP16" i="11" s="1"/>
  <c r="AP16" i="10" s="1"/>
  <c r="AP17" i="11" a="1"/>
  <c r="AP17" i="11" s="1"/>
  <c r="AP17" i="10" s="1"/>
  <c r="AP18" i="11" a="1"/>
  <c r="AP18" i="11" s="1"/>
  <c r="AP18" i="10" s="1"/>
  <c r="AP19" i="11" a="1"/>
  <c r="AP19" i="11" s="1"/>
  <c r="AP19" i="10" s="1"/>
  <c r="AP20" i="11" a="1"/>
  <c r="AP20" i="11" s="1"/>
  <c r="AP20" i="10" s="1"/>
  <c r="AP21" i="11" a="1"/>
  <c r="AP21" i="11" s="1"/>
  <c r="AP21" i="10" s="1"/>
  <c r="AP22" i="11" a="1"/>
  <c r="AP22" i="11" s="1"/>
  <c r="AP22" i="10" s="1"/>
  <c r="AP23" i="11" a="1"/>
  <c r="AP23" i="11" s="1"/>
  <c r="AP23" i="10" s="1"/>
  <c r="AP24" i="11" a="1"/>
  <c r="AP24" i="11" s="1"/>
  <c r="AP24" i="10" s="1"/>
  <c r="AP25" i="11" a="1"/>
  <c r="AP25" i="11" s="1"/>
  <c r="AP25" i="10" s="1"/>
  <c r="AP26" i="11" a="1"/>
  <c r="AP26" i="11" s="1"/>
  <c r="AP26" i="10" s="1"/>
  <c r="AP27" i="11" a="1"/>
  <c r="AP27" i="11" s="1"/>
  <c r="AP27" i="10" s="1"/>
  <c r="AP28" i="11" a="1"/>
  <c r="AP28" i="11" s="1"/>
  <c r="AP28" i="10" s="1"/>
  <c r="AP29" i="11" a="1"/>
  <c r="AP29" i="11" s="1"/>
  <c r="AP29" i="10" s="1"/>
  <c r="AP30" i="11" a="1"/>
  <c r="AP30" i="11" s="1"/>
  <c r="AP30" i="10" s="1"/>
  <c r="AP31" i="11" a="1"/>
  <c r="AP31" i="11" s="1"/>
  <c r="AP31" i="10" s="1"/>
  <c r="AP32" i="11" a="1"/>
  <c r="AP32" i="11" s="1"/>
  <c r="AP32" i="10" s="1"/>
  <c r="AP33" i="11" a="1"/>
  <c r="AP33" i="11" s="1"/>
  <c r="AP33" i="10" s="1"/>
  <c r="AP34" i="11" a="1"/>
  <c r="AP34" i="11" s="1"/>
  <c r="AP34" i="10" s="1"/>
  <c r="AP35" i="11" a="1"/>
  <c r="AP35" i="11" s="1"/>
  <c r="AP35" i="10" s="1"/>
  <c r="AP36" i="11" a="1"/>
  <c r="AP36" i="11" s="1"/>
  <c r="AP36" i="10" s="1"/>
  <c r="AP37" i="11" a="1"/>
  <c r="AP37" i="11" s="1"/>
  <c r="AP37" i="10" s="1"/>
  <c r="AP38" i="11" a="1"/>
  <c r="AP38" i="11" s="1"/>
  <c r="AP38" i="10" s="1"/>
  <c r="AP39" i="11" a="1"/>
  <c r="AP39" i="11" s="1"/>
  <c r="AP39" i="10" s="1"/>
  <c r="AP40" i="11" a="1"/>
  <c r="AP40" i="11" s="1"/>
  <c r="AP40" i="10" s="1"/>
  <c r="AP41" i="11" a="1"/>
  <c r="AP41" i="11" s="1"/>
  <c r="AP41" i="10" s="1"/>
  <c r="AP42" i="11" a="1"/>
  <c r="AP42" i="11" s="1"/>
  <c r="AP42" i="10" s="1"/>
  <c r="AP44" i="11" a="1"/>
  <c r="AP44" i="11" s="1"/>
  <c r="AP44" i="10" s="1"/>
  <c r="AP45" i="11" a="1"/>
  <c r="AP45" i="11" s="1"/>
  <c r="AP45" i="10" s="1"/>
  <c r="AP46" i="11" a="1"/>
  <c r="AP46" i="11" s="1"/>
  <c r="AP46" i="10" s="1"/>
  <c r="AP47" i="11" a="1"/>
  <c r="AP47" i="11" s="1"/>
  <c r="AP47" i="10" s="1"/>
  <c r="AP48" i="11" a="1"/>
  <c r="AP48" i="11" s="1"/>
  <c r="AP48" i="10" s="1"/>
  <c r="AP49" i="11" a="1"/>
  <c r="AP49" i="11" s="1"/>
  <c r="AP49" i="10" s="1"/>
  <c r="AI3" i="11" a="1"/>
  <c r="AI3" i="11" s="1"/>
  <c r="AI3" i="10" s="1"/>
  <c r="AH50" i="11"/>
  <c r="AI2" i="11" a="1"/>
  <c r="AI2" i="11" s="1"/>
  <c r="AI4" i="11" a="1"/>
  <c r="AI4" i="11" s="1"/>
  <c r="AI4" i="10" s="1"/>
  <c r="AI5" i="11" a="1"/>
  <c r="AI5" i="11" s="1"/>
  <c r="AI5" i="10" s="1"/>
  <c r="AI6" i="11" a="1"/>
  <c r="AI6" i="11" s="1"/>
  <c r="AI6" i="10" s="1"/>
  <c r="AI7" i="11" a="1"/>
  <c r="AI7" i="11" s="1"/>
  <c r="AI7" i="10" s="1"/>
  <c r="AI8" i="11" a="1"/>
  <c r="AI8" i="11" s="1"/>
  <c r="AI8" i="10" s="1"/>
  <c r="AI9" i="11" a="1"/>
  <c r="AI9" i="11" s="1"/>
  <c r="AI9" i="10" s="1"/>
  <c r="AI10" i="11" a="1"/>
  <c r="AI10" i="11" s="1"/>
  <c r="AI10" i="10" s="1"/>
  <c r="AI11" i="11" a="1"/>
  <c r="AI11" i="11" s="1"/>
  <c r="AI11" i="10" s="1"/>
  <c r="AI12" i="11" a="1"/>
  <c r="AI12" i="11" s="1"/>
  <c r="AI12" i="10" s="1"/>
  <c r="AI13" i="11" a="1"/>
  <c r="AI13" i="11" s="1"/>
  <c r="AI13" i="10" s="1"/>
  <c r="AI14" i="11" a="1"/>
  <c r="AI14" i="11" s="1"/>
  <c r="AI14" i="10" s="1"/>
  <c r="AI15" i="11" a="1"/>
  <c r="AI15" i="11" s="1"/>
  <c r="AI15" i="10" s="1"/>
  <c r="AI16" i="11" a="1"/>
  <c r="AI16" i="11" s="1"/>
  <c r="AI16" i="10" s="1"/>
  <c r="AI17" i="11" a="1"/>
  <c r="AI17" i="11" s="1"/>
  <c r="AI17" i="10" s="1"/>
  <c r="AI18" i="11" a="1"/>
  <c r="AI18" i="11" s="1"/>
  <c r="AI18" i="10" s="1"/>
  <c r="AI19" i="11" a="1"/>
  <c r="AI19" i="11" s="1"/>
  <c r="AI19" i="10" s="1"/>
  <c r="AI20" i="11" a="1"/>
  <c r="AI20" i="11" s="1"/>
  <c r="AI20" i="10" s="1"/>
  <c r="AI21" i="11" a="1"/>
  <c r="AI21" i="11" s="1"/>
  <c r="AI21" i="10" s="1"/>
  <c r="AI22" i="11" a="1"/>
  <c r="AI22" i="11" s="1"/>
  <c r="AI22" i="10" s="1"/>
  <c r="AI23" i="11" a="1"/>
  <c r="AI23" i="11" s="1"/>
  <c r="AI23" i="10" s="1"/>
  <c r="AI24" i="11" a="1"/>
  <c r="AI24" i="11" s="1"/>
  <c r="AI24" i="10" s="1"/>
  <c r="AI25" i="11" a="1"/>
  <c r="AI25" i="11" s="1"/>
  <c r="AI25" i="10" s="1"/>
  <c r="AI26" i="11" a="1"/>
  <c r="AI26" i="11" s="1"/>
  <c r="AI26" i="10" s="1"/>
  <c r="AI27" i="11" a="1"/>
  <c r="AI27" i="11" s="1"/>
  <c r="AI27" i="10" s="1"/>
  <c r="AI28" i="11" a="1"/>
  <c r="AI28" i="11" s="1"/>
  <c r="AI28" i="10" s="1"/>
  <c r="AI29" i="11" a="1"/>
  <c r="AI29" i="11" s="1"/>
  <c r="AI29" i="10" s="1"/>
  <c r="AI30" i="11" a="1"/>
  <c r="AI30" i="11" s="1"/>
  <c r="AI30" i="10" s="1"/>
  <c r="AI31" i="11" a="1"/>
  <c r="AI31" i="11" s="1"/>
  <c r="AI31" i="10" s="1"/>
  <c r="AI32" i="11" a="1"/>
  <c r="AI32" i="11" s="1"/>
  <c r="AI32" i="10" s="1"/>
  <c r="AI33" i="11" a="1"/>
  <c r="AI33" i="11" s="1"/>
  <c r="AI33" i="10" s="1"/>
  <c r="AI34" i="11" a="1"/>
  <c r="AI34" i="11" s="1"/>
  <c r="AI34" i="10" s="1"/>
  <c r="AI35" i="11" a="1"/>
  <c r="AI35" i="11" s="1"/>
  <c r="AI35" i="10" s="1"/>
  <c r="AI36" i="11" a="1"/>
  <c r="AI36" i="11" s="1"/>
  <c r="AI36" i="10" s="1"/>
  <c r="AI37" i="11" a="1"/>
  <c r="AI37" i="11" s="1"/>
  <c r="AI37" i="10" s="1"/>
  <c r="AI38" i="11" a="1"/>
  <c r="AI38" i="11" s="1"/>
  <c r="AI38" i="10" s="1"/>
  <c r="AI39" i="11" a="1"/>
  <c r="AI39" i="11" s="1"/>
  <c r="AI39" i="10" s="1"/>
  <c r="AI40" i="11" a="1"/>
  <c r="AI40" i="11" s="1"/>
  <c r="AI40" i="10" s="1"/>
  <c r="AI41" i="11" a="1"/>
  <c r="AI41" i="11" s="1"/>
  <c r="AI41" i="10" s="1"/>
  <c r="AI42" i="11" a="1"/>
  <c r="AI42" i="11" s="1"/>
  <c r="AI42" i="10" s="1"/>
  <c r="AI44" i="11" a="1"/>
  <c r="AI44" i="11" s="1"/>
  <c r="AI44" i="10" s="1"/>
  <c r="AI45" i="11" a="1"/>
  <c r="AI45" i="11" s="1"/>
  <c r="AI45" i="10" s="1"/>
  <c r="AI46" i="11" a="1"/>
  <c r="AI46" i="11" s="1"/>
  <c r="AI46" i="10" s="1"/>
  <c r="AI47" i="11" a="1"/>
  <c r="AI47" i="11" s="1"/>
  <c r="AI47" i="10" s="1"/>
  <c r="AI48" i="11" a="1"/>
  <c r="AI48" i="11" s="1"/>
  <c r="AI48" i="10" s="1"/>
  <c r="AI49" i="11" a="1"/>
  <c r="AI49" i="11" s="1"/>
  <c r="AI49" i="10" s="1"/>
  <c r="AD3" i="11" a="1"/>
  <c r="AD3" i="11" s="1"/>
  <c r="AD3" i="10" s="1"/>
  <c r="AC50" i="11"/>
  <c r="AD2" i="11" a="1"/>
  <c r="AD2" i="11" s="1"/>
  <c r="AD4" i="11" a="1"/>
  <c r="AD4" i="11" s="1"/>
  <c r="AD4" i="10" s="1"/>
  <c r="AD5" i="11" a="1"/>
  <c r="AD5" i="11" s="1"/>
  <c r="AD5" i="10" s="1"/>
  <c r="AD6" i="11" a="1"/>
  <c r="AD6" i="11" s="1"/>
  <c r="AD6" i="10" s="1"/>
  <c r="AD7" i="11" a="1"/>
  <c r="AD7" i="11" s="1"/>
  <c r="AD7" i="10" s="1"/>
  <c r="AD8" i="11" a="1"/>
  <c r="AD8" i="11" s="1"/>
  <c r="AD8" i="10" s="1"/>
  <c r="AD9" i="11" a="1"/>
  <c r="AD9" i="11" s="1"/>
  <c r="AD9" i="10" s="1"/>
  <c r="AD10" i="11" a="1"/>
  <c r="AD10" i="11" s="1"/>
  <c r="AD10" i="10" s="1"/>
  <c r="AD11" i="11" a="1"/>
  <c r="AD11" i="11" s="1"/>
  <c r="AD11" i="10" s="1"/>
  <c r="AD12" i="11" a="1"/>
  <c r="AD12" i="11" s="1"/>
  <c r="AD12" i="10" s="1"/>
  <c r="AD13" i="11" a="1"/>
  <c r="AD13" i="11" s="1"/>
  <c r="AD13" i="10" s="1"/>
  <c r="AD14" i="11" a="1"/>
  <c r="AD14" i="11" s="1"/>
  <c r="AD14" i="10" s="1"/>
  <c r="AD15" i="11" a="1"/>
  <c r="AD15" i="11" s="1"/>
  <c r="AD15" i="10" s="1"/>
  <c r="AD16" i="11" a="1"/>
  <c r="AD16" i="11" s="1"/>
  <c r="AD16" i="10" s="1"/>
  <c r="AD17" i="11" a="1"/>
  <c r="AD17" i="11" s="1"/>
  <c r="AD17" i="10" s="1"/>
  <c r="AD18" i="11" a="1"/>
  <c r="AD18" i="11" s="1"/>
  <c r="AD18" i="10" s="1"/>
  <c r="AD19" i="11" a="1"/>
  <c r="AD19" i="11" s="1"/>
  <c r="AD19" i="10" s="1"/>
  <c r="AD20" i="11" a="1"/>
  <c r="AD20" i="11" s="1"/>
  <c r="AD20" i="10" s="1"/>
  <c r="AD21" i="11" a="1"/>
  <c r="AD21" i="11" s="1"/>
  <c r="AD21" i="10" s="1"/>
  <c r="AD22" i="11" a="1"/>
  <c r="AD22" i="11" s="1"/>
  <c r="AD22" i="10" s="1"/>
  <c r="AD23" i="11" a="1"/>
  <c r="AD23" i="11" s="1"/>
  <c r="AD23" i="10" s="1"/>
  <c r="AD24" i="11" a="1"/>
  <c r="AD24" i="11" s="1"/>
  <c r="AD24" i="10" s="1"/>
  <c r="AD25" i="11" a="1"/>
  <c r="AD25" i="11" s="1"/>
  <c r="AD25" i="10" s="1"/>
  <c r="AD26" i="11" a="1"/>
  <c r="AD26" i="11" s="1"/>
  <c r="AD26" i="10" s="1"/>
  <c r="AD27" i="11" a="1"/>
  <c r="AD27" i="11" s="1"/>
  <c r="AD27" i="10" s="1"/>
  <c r="AD28" i="11" a="1"/>
  <c r="AD28" i="11" s="1"/>
  <c r="AD28" i="10" s="1"/>
  <c r="AD29" i="11" a="1"/>
  <c r="AD29" i="11" s="1"/>
  <c r="AD29" i="10" s="1"/>
  <c r="AD30" i="11" a="1"/>
  <c r="AD30" i="11" s="1"/>
  <c r="AD30" i="10" s="1"/>
  <c r="AD31" i="11" a="1"/>
  <c r="AD31" i="11" s="1"/>
  <c r="AD31" i="10" s="1"/>
  <c r="AD32" i="11" a="1"/>
  <c r="AD32" i="11" s="1"/>
  <c r="AD32" i="10" s="1"/>
  <c r="AD33" i="11" a="1"/>
  <c r="AD33" i="11" s="1"/>
  <c r="AD33" i="10" s="1"/>
  <c r="AD34" i="11" a="1"/>
  <c r="AD34" i="11" s="1"/>
  <c r="AD34" i="10" s="1"/>
  <c r="AD35" i="11" a="1"/>
  <c r="AD35" i="11" s="1"/>
  <c r="AD35" i="10" s="1"/>
  <c r="AD36" i="11" a="1"/>
  <c r="AD36" i="11" s="1"/>
  <c r="AD36" i="10" s="1"/>
  <c r="AD37" i="11" a="1"/>
  <c r="AD37" i="11" s="1"/>
  <c r="AD37" i="10" s="1"/>
  <c r="AD38" i="11" a="1"/>
  <c r="AD38" i="11" s="1"/>
  <c r="AD38" i="10" s="1"/>
  <c r="AD39" i="11" a="1"/>
  <c r="AD39" i="11" s="1"/>
  <c r="AD39" i="10" s="1"/>
  <c r="AD40" i="11" a="1"/>
  <c r="AD40" i="11" s="1"/>
  <c r="AD40" i="10" s="1"/>
  <c r="AD41" i="11" a="1"/>
  <c r="AD41" i="11" s="1"/>
  <c r="AD41" i="10" s="1"/>
  <c r="AD42" i="11" a="1"/>
  <c r="AD42" i="11" s="1"/>
  <c r="AD42" i="10" s="1"/>
  <c r="AD44" i="11" a="1"/>
  <c r="AD44" i="11" s="1"/>
  <c r="AD44" i="10" s="1"/>
  <c r="AD45" i="11" a="1"/>
  <c r="AD45" i="11" s="1"/>
  <c r="AD45" i="10" s="1"/>
  <c r="AD46" i="11" a="1"/>
  <c r="AD46" i="11" s="1"/>
  <c r="AD46" i="10" s="1"/>
  <c r="AD47" i="11" a="1"/>
  <c r="AD47" i="11" s="1"/>
  <c r="AD47" i="10" s="1"/>
  <c r="AD48" i="11" a="1"/>
  <c r="AD48" i="11" s="1"/>
  <c r="AD48" i="10" s="1"/>
  <c r="AD49" i="11" a="1"/>
  <c r="AD49" i="11" s="1"/>
  <c r="AD49" i="10" s="1"/>
  <c r="W6" i="11" a="1"/>
  <c r="W6" i="11" s="1"/>
  <c r="W6" i="10" s="1"/>
  <c r="W7" i="11" a="1"/>
  <c r="W7" i="11" s="1"/>
  <c r="W7" i="10" s="1"/>
  <c r="W8" i="11" a="1"/>
  <c r="W8" i="11" s="1"/>
  <c r="W8" i="10" s="1"/>
  <c r="W9" i="11" a="1"/>
  <c r="W9" i="11" s="1"/>
  <c r="W9" i="10" s="1"/>
  <c r="W10" i="11" a="1"/>
  <c r="W10" i="11" s="1"/>
  <c r="W10" i="10" s="1"/>
  <c r="W11" i="11" a="1"/>
  <c r="W11" i="11" s="1"/>
  <c r="W11" i="10" s="1"/>
  <c r="W12" i="11" a="1"/>
  <c r="W12" i="11" s="1"/>
  <c r="W12" i="10" s="1"/>
  <c r="W13" i="11" a="1"/>
  <c r="W13" i="11" s="1"/>
  <c r="W13" i="10" s="1"/>
  <c r="W14" i="11" a="1"/>
  <c r="W14" i="11" s="1"/>
  <c r="W14" i="10" s="1"/>
  <c r="W15" i="11" a="1"/>
  <c r="W15" i="11" s="1"/>
  <c r="W15" i="10" s="1"/>
  <c r="W16" i="11" a="1"/>
  <c r="W16" i="11" s="1"/>
  <c r="W16" i="10" s="1"/>
  <c r="W17" i="11" a="1"/>
  <c r="W17" i="11" s="1"/>
  <c r="W17" i="10" s="1"/>
  <c r="W18" i="11" a="1"/>
  <c r="W18" i="11" s="1"/>
  <c r="W18" i="10" s="1"/>
  <c r="W19" i="11" a="1"/>
  <c r="W19" i="11" s="1"/>
  <c r="W19" i="10" s="1"/>
  <c r="W20" i="11" a="1"/>
  <c r="W20" i="11" s="1"/>
  <c r="W20" i="10" s="1"/>
  <c r="W21" i="11" a="1"/>
  <c r="W21" i="11" s="1"/>
  <c r="W21" i="10" s="1"/>
  <c r="W22" i="11" a="1"/>
  <c r="W22" i="11" s="1"/>
  <c r="W22" i="10" s="1"/>
  <c r="W23" i="11" a="1"/>
  <c r="W23" i="11" s="1"/>
  <c r="W23" i="10" s="1"/>
  <c r="W24" i="11" a="1"/>
  <c r="W24" i="11" s="1"/>
  <c r="W24" i="10" s="1"/>
  <c r="W25" i="11" a="1"/>
  <c r="W25" i="11" s="1"/>
  <c r="W25" i="10" s="1"/>
  <c r="W26" i="11" a="1"/>
  <c r="W26" i="11" s="1"/>
  <c r="W26" i="10" s="1"/>
  <c r="W27" i="11" a="1"/>
  <c r="W27" i="11" s="1"/>
  <c r="W27" i="10" s="1"/>
  <c r="W28" i="11" a="1"/>
  <c r="W28" i="11" s="1"/>
  <c r="W28" i="10" s="1"/>
  <c r="W29" i="11" a="1"/>
  <c r="W29" i="11" s="1"/>
  <c r="W29" i="10" s="1"/>
  <c r="W30" i="11" a="1"/>
  <c r="W30" i="11" s="1"/>
  <c r="W30" i="10" s="1"/>
  <c r="W31" i="11" a="1"/>
  <c r="W31" i="11" s="1"/>
  <c r="W31" i="10" s="1"/>
  <c r="W32" i="11" a="1"/>
  <c r="W32" i="11" s="1"/>
  <c r="W32" i="10" s="1"/>
  <c r="W33" i="11" a="1"/>
  <c r="W33" i="11" s="1"/>
  <c r="W33" i="10" s="1"/>
  <c r="W34" i="11" a="1"/>
  <c r="W34" i="11" s="1"/>
  <c r="W34" i="10" s="1"/>
  <c r="W35" i="11" a="1"/>
  <c r="W35" i="11" s="1"/>
  <c r="W35" i="10" s="1"/>
  <c r="W36" i="11" a="1"/>
  <c r="W36" i="11" s="1"/>
  <c r="W36" i="10" s="1"/>
  <c r="W37" i="11" a="1"/>
  <c r="W37" i="11" s="1"/>
  <c r="W37" i="10" s="1"/>
  <c r="W38" i="11" a="1"/>
  <c r="W38" i="11" s="1"/>
  <c r="W38" i="10" s="1"/>
  <c r="W39" i="11" a="1"/>
  <c r="W39" i="11" s="1"/>
  <c r="W39" i="10" s="1"/>
  <c r="W40" i="11" a="1"/>
  <c r="W40" i="11" s="1"/>
  <c r="W40" i="10" s="1"/>
  <c r="W41" i="11" a="1"/>
  <c r="W41" i="11" s="1"/>
  <c r="W41" i="10" s="1"/>
  <c r="W42" i="11" a="1"/>
  <c r="W42" i="11" s="1"/>
  <c r="W42" i="10" s="1"/>
  <c r="W44" i="11" a="1"/>
  <c r="W44" i="11" s="1"/>
  <c r="W44" i="10" s="1"/>
  <c r="W45" i="11" a="1"/>
  <c r="W45" i="11" s="1"/>
  <c r="W45" i="10" s="1"/>
  <c r="W46" i="11" a="1"/>
  <c r="W46" i="11" s="1"/>
  <c r="W46" i="10" s="1"/>
  <c r="W47" i="11" a="1"/>
  <c r="W47" i="11" s="1"/>
  <c r="W47" i="10" s="1"/>
  <c r="W48" i="11" a="1"/>
  <c r="W48" i="11" s="1"/>
  <c r="W48" i="10" s="1"/>
  <c r="W49" i="11" a="1"/>
  <c r="W49" i="11" s="1"/>
  <c r="W49" i="10" s="1"/>
  <c r="W4" i="11" a="1"/>
  <c r="W4" i="11" s="1"/>
  <c r="W4" i="10" s="1"/>
  <c r="W3" i="11" a="1"/>
  <c r="W3" i="11" s="1"/>
  <c r="W3" i="10" s="1"/>
  <c r="V50" i="11"/>
  <c r="W2" i="11" a="1"/>
  <c r="W2" i="11" s="1"/>
  <c r="X43" i="11" s="1" a="1"/>
  <c r="X43" i="11" s="1"/>
  <c r="X43" i="10" s="1"/>
  <c r="R3" i="11" a="1"/>
  <c r="R3" i="11" s="1"/>
  <c r="R3" i="10" s="1"/>
  <c r="R2" i="11" a="1"/>
  <c r="R2" i="11" s="1"/>
  <c r="R2" i="10" s="1"/>
  <c r="R4" i="11" a="1"/>
  <c r="R4" i="11" s="1"/>
  <c r="R4" i="10" s="1"/>
  <c r="R5" i="11" a="1"/>
  <c r="R5" i="11" s="1"/>
  <c r="R5" i="10" s="1"/>
  <c r="R6" i="11" a="1"/>
  <c r="R6" i="11" s="1"/>
  <c r="R6" i="10" s="1"/>
  <c r="R7" i="11" a="1"/>
  <c r="R7" i="11" s="1"/>
  <c r="R7" i="10" s="1"/>
  <c r="R8" i="11" a="1"/>
  <c r="R8" i="11" s="1"/>
  <c r="R8" i="10" s="1"/>
  <c r="R9" i="11" a="1"/>
  <c r="R9" i="11" s="1"/>
  <c r="R9" i="10" s="1"/>
  <c r="R10" i="11" a="1"/>
  <c r="R10" i="11" s="1"/>
  <c r="R10" i="10" s="1"/>
  <c r="R11" i="11" a="1"/>
  <c r="R11" i="11" s="1"/>
  <c r="R11" i="10" s="1"/>
  <c r="R12" i="11" a="1"/>
  <c r="R12" i="11" s="1"/>
  <c r="R12" i="10" s="1"/>
  <c r="R13" i="11" a="1"/>
  <c r="R13" i="11" s="1"/>
  <c r="R13" i="10" s="1"/>
  <c r="R14" i="11" a="1"/>
  <c r="R14" i="11" s="1"/>
  <c r="R14" i="10" s="1"/>
  <c r="R15" i="11" a="1"/>
  <c r="R15" i="11" s="1"/>
  <c r="R15" i="10" s="1"/>
  <c r="R16" i="11" a="1"/>
  <c r="R16" i="11" s="1"/>
  <c r="R16" i="10" s="1"/>
  <c r="R17" i="11" a="1"/>
  <c r="R17" i="11" s="1"/>
  <c r="R17" i="10" s="1"/>
  <c r="R18" i="11" a="1"/>
  <c r="R18" i="11" s="1"/>
  <c r="R18" i="10" s="1"/>
  <c r="R19" i="11" a="1"/>
  <c r="R19" i="11" s="1"/>
  <c r="R19" i="10" s="1"/>
  <c r="R20" i="11" a="1"/>
  <c r="R20" i="11" s="1"/>
  <c r="R20" i="10" s="1"/>
  <c r="R21" i="11" a="1"/>
  <c r="R21" i="11" s="1"/>
  <c r="R21" i="10" s="1"/>
  <c r="R22" i="11" a="1"/>
  <c r="R22" i="11" s="1"/>
  <c r="R22" i="10" s="1"/>
  <c r="R23" i="11" a="1"/>
  <c r="R23" i="11" s="1"/>
  <c r="R23" i="10" s="1"/>
  <c r="R24" i="11" a="1"/>
  <c r="R24" i="11" s="1"/>
  <c r="R24" i="10" s="1"/>
  <c r="R25" i="11" a="1"/>
  <c r="R25" i="11" s="1"/>
  <c r="R25" i="10" s="1"/>
  <c r="R26" i="11" a="1"/>
  <c r="R26" i="11" s="1"/>
  <c r="R26" i="10" s="1"/>
  <c r="R27" i="11" a="1"/>
  <c r="R27" i="11" s="1"/>
  <c r="R27" i="10" s="1"/>
  <c r="R28" i="11" a="1"/>
  <c r="R28" i="11" s="1"/>
  <c r="R28" i="10" s="1"/>
  <c r="R29" i="11" a="1"/>
  <c r="R29" i="11" s="1"/>
  <c r="R29" i="10" s="1"/>
  <c r="R30" i="11" a="1"/>
  <c r="R30" i="11" s="1"/>
  <c r="R30" i="10" s="1"/>
  <c r="R31" i="11" a="1"/>
  <c r="R31" i="11" s="1"/>
  <c r="R31" i="10" s="1"/>
  <c r="R32" i="11" a="1"/>
  <c r="R32" i="11" s="1"/>
  <c r="R32" i="10" s="1"/>
  <c r="R33" i="11" a="1"/>
  <c r="R33" i="11" s="1"/>
  <c r="R33" i="10" s="1"/>
  <c r="R34" i="11" a="1"/>
  <c r="R34" i="11" s="1"/>
  <c r="R34" i="10" s="1"/>
  <c r="R35" i="11" a="1"/>
  <c r="R35" i="11" s="1"/>
  <c r="R35" i="10" s="1"/>
  <c r="R36" i="11" a="1"/>
  <c r="R36" i="11" s="1"/>
  <c r="R36" i="10" s="1"/>
  <c r="R37" i="11" a="1"/>
  <c r="R37" i="11" s="1"/>
  <c r="R37" i="10" s="1"/>
  <c r="R38" i="11" a="1"/>
  <c r="R38" i="11" s="1"/>
  <c r="R38" i="10" s="1"/>
  <c r="R39" i="11" a="1"/>
  <c r="R39" i="11" s="1"/>
  <c r="R39" i="10" s="1"/>
  <c r="R40" i="11" a="1"/>
  <c r="R40" i="11" s="1"/>
  <c r="R40" i="10" s="1"/>
  <c r="R41" i="11" a="1"/>
  <c r="R41" i="11" s="1"/>
  <c r="R41" i="10" s="1"/>
  <c r="R42" i="11" a="1"/>
  <c r="R42" i="11" s="1"/>
  <c r="R42" i="10" s="1"/>
  <c r="R44" i="11" a="1"/>
  <c r="R44" i="11" s="1"/>
  <c r="R44" i="10" s="1"/>
  <c r="R45" i="11" a="1"/>
  <c r="R45" i="11" s="1"/>
  <c r="R45" i="10" s="1"/>
  <c r="R46" i="11" a="1"/>
  <c r="R46" i="11" s="1"/>
  <c r="R46" i="10" s="1"/>
  <c r="R47" i="11" a="1"/>
  <c r="R47" i="11" s="1"/>
  <c r="R47" i="10" s="1"/>
  <c r="R48" i="11" a="1"/>
  <c r="R48" i="11" s="1"/>
  <c r="R48" i="10" s="1"/>
  <c r="R49" i="11" a="1"/>
  <c r="R49" i="11" s="1"/>
  <c r="R49" i="10" s="1"/>
  <c r="Q50" i="11"/>
  <c r="F4" i="11" a="1"/>
  <c r="F4" i="11" s="1"/>
  <c r="F4" i="10" s="1"/>
  <c r="F5" i="11" a="1"/>
  <c r="F5" i="11" s="1"/>
  <c r="F5" i="10" s="1"/>
  <c r="F6" i="11" a="1"/>
  <c r="F6" i="11" s="1"/>
  <c r="F6" i="10" s="1"/>
  <c r="F7" i="11" a="1"/>
  <c r="F7" i="11" s="1"/>
  <c r="F7" i="10" s="1"/>
  <c r="F8" i="11" a="1"/>
  <c r="F8" i="11" s="1"/>
  <c r="F8" i="10" s="1"/>
  <c r="F9" i="11" a="1"/>
  <c r="F9" i="11" s="1"/>
  <c r="F9" i="10" s="1"/>
  <c r="F10" i="11" a="1"/>
  <c r="F10" i="11" s="1"/>
  <c r="F10" i="10" s="1"/>
  <c r="F11" i="11" a="1"/>
  <c r="F11" i="11" s="1"/>
  <c r="F11" i="10" s="1"/>
  <c r="F12" i="11" a="1"/>
  <c r="F12" i="11" s="1"/>
  <c r="F12" i="10" s="1"/>
  <c r="F13" i="11" a="1"/>
  <c r="F13" i="11" s="1"/>
  <c r="F13" i="10" s="1"/>
  <c r="F14" i="11" a="1"/>
  <c r="F14" i="11" s="1"/>
  <c r="F14" i="10" s="1"/>
  <c r="F15" i="11" a="1"/>
  <c r="F15" i="11" s="1"/>
  <c r="F15" i="10" s="1"/>
  <c r="F16" i="11" a="1"/>
  <c r="F16" i="11" s="1"/>
  <c r="F16" i="10" s="1"/>
  <c r="F17" i="11" a="1"/>
  <c r="F17" i="11" s="1"/>
  <c r="F17" i="10" s="1"/>
  <c r="F18" i="11" a="1"/>
  <c r="F18" i="11" s="1"/>
  <c r="F18" i="10" s="1"/>
  <c r="F19" i="11" a="1"/>
  <c r="F19" i="11" s="1"/>
  <c r="F19" i="10" s="1"/>
  <c r="F20" i="11" a="1"/>
  <c r="F20" i="11" s="1"/>
  <c r="F20" i="10" s="1"/>
  <c r="F21" i="11" a="1"/>
  <c r="F21" i="11" s="1"/>
  <c r="F21" i="10" s="1"/>
  <c r="F22" i="11" a="1"/>
  <c r="F22" i="11" s="1"/>
  <c r="F22" i="10" s="1"/>
  <c r="F23" i="11" a="1"/>
  <c r="F23" i="11" s="1"/>
  <c r="F23" i="10" s="1"/>
  <c r="F24" i="11" a="1"/>
  <c r="F24" i="11" s="1"/>
  <c r="F24" i="10" s="1"/>
  <c r="F25" i="11" a="1"/>
  <c r="F25" i="11" s="1"/>
  <c r="F25" i="10" s="1"/>
  <c r="F26" i="11" a="1"/>
  <c r="F26" i="11" s="1"/>
  <c r="F26" i="10" s="1"/>
  <c r="F27" i="11" a="1"/>
  <c r="F27" i="11" s="1"/>
  <c r="F27" i="10" s="1"/>
  <c r="F28" i="11" a="1"/>
  <c r="F28" i="11" s="1"/>
  <c r="F28" i="10" s="1"/>
  <c r="F29" i="11" a="1"/>
  <c r="F29" i="11" s="1"/>
  <c r="F29" i="10" s="1"/>
  <c r="F30" i="11" a="1"/>
  <c r="F30" i="11" s="1"/>
  <c r="F30" i="10" s="1"/>
  <c r="F31" i="11" a="1"/>
  <c r="F31" i="11" s="1"/>
  <c r="F31" i="10" s="1"/>
  <c r="F32" i="11" a="1"/>
  <c r="F32" i="11" s="1"/>
  <c r="F32" i="10" s="1"/>
  <c r="F33" i="11" a="1"/>
  <c r="F33" i="11" s="1"/>
  <c r="F33" i="10" s="1"/>
  <c r="F34" i="11" a="1"/>
  <c r="F34" i="11" s="1"/>
  <c r="F34" i="10" s="1"/>
  <c r="F35" i="11" a="1"/>
  <c r="F35" i="11" s="1"/>
  <c r="F35" i="10" s="1"/>
  <c r="F36" i="11" a="1"/>
  <c r="F36" i="11" s="1"/>
  <c r="F36" i="10" s="1"/>
  <c r="F37" i="11" a="1"/>
  <c r="F37" i="11" s="1"/>
  <c r="F37" i="10" s="1"/>
  <c r="F38" i="11" a="1"/>
  <c r="F38" i="11" s="1"/>
  <c r="F38" i="10" s="1"/>
  <c r="F39" i="11" a="1"/>
  <c r="F39" i="11" s="1"/>
  <c r="F39" i="10" s="1"/>
  <c r="F40" i="11" a="1"/>
  <c r="F40" i="11" s="1"/>
  <c r="F40" i="10" s="1"/>
  <c r="F41" i="11" a="1"/>
  <c r="F41" i="11" s="1"/>
  <c r="F41" i="10" s="1"/>
  <c r="F42" i="11" a="1"/>
  <c r="F42" i="11" s="1"/>
  <c r="F44" i="11" a="1"/>
  <c r="F44" i="11" s="1"/>
  <c r="F44" i="10" s="1"/>
  <c r="F45" i="11" a="1"/>
  <c r="F45" i="11" s="1"/>
  <c r="F45" i="10" s="1"/>
  <c r="F46" i="11" a="1"/>
  <c r="F46" i="11" s="1"/>
  <c r="F46" i="10" s="1"/>
  <c r="F47" i="11" a="1"/>
  <c r="F47" i="11" s="1"/>
  <c r="F47" i="10" s="1"/>
  <c r="F48" i="11" a="1"/>
  <c r="F48" i="11" s="1"/>
  <c r="F48" i="10" s="1"/>
  <c r="F49" i="11" a="1"/>
  <c r="F49" i="11" s="1"/>
  <c r="F49" i="10" s="1"/>
  <c r="E50" i="11"/>
  <c r="F2" i="11" a="1"/>
  <c r="F2" i="11" s="1"/>
  <c r="F2" i="10" s="1"/>
  <c r="AS2" i="3"/>
  <c r="AR4" i="3"/>
  <c r="AR6" i="3"/>
  <c r="AR3" i="3"/>
  <c r="AR11" i="3"/>
  <c r="AS11" i="3" s="1"/>
  <c r="AS5" i="3"/>
  <c r="AS4" i="3"/>
  <c r="U15" i="3"/>
  <c r="AS8" i="3" s="1"/>
  <c r="U2" i="3"/>
  <c r="U13" i="3"/>
  <c r="U22" i="3"/>
  <c r="AL49" i="3" l="1"/>
  <c r="AL2" i="3"/>
  <c r="AL42" i="3"/>
  <c r="AL43" i="3"/>
  <c r="AM43" i="3" s="1"/>
  <c r="BB2" i="10"/>
  <c r="BC43" i="11" a="1"/>
  <c r="BC43" i="11" s="1"/>
  <c r="BC43" i="10" s="1"/>
  <c r="AU2" i="10"/>
  <c r="AV43" i="11" a="1"/>
  <c r="AV43" i="11" s="1"/>
  <c r="AV43" i="10" s="1"/>
  <c r="AP2" i="10"/>
  <c r="AQ43" i="11" a="1"/>
  <c r="AQ43" i="11" s="1"/>
  <c r="AQ43" i="10" s="1"/>
  <c r="AI2" i="10"/>
  <c r="AJ43" i="11" a="1"/>
  <c r="AJ43" i="11" s="1"/>
  <c r="AJ43" i="10" s="1"/>
  <c r="AD2" i="10"/>
  <c r="AE43" i="11" a="1"/>
  <c r="AE43" i="11" s="1"/>
  <c r="AE43" i="10" s="1"/>
  <c r="S43" i="11" a="1"/>
  <c r="S43" i="11" s="1"/>
  <c r="S43" i="10" s="1"/>
  <c r="G43" i="11" a="1"/>
  <c r="G43" i="11" s="1"/>
  <c r="F42" i="10"/>
  <c r="G42" i="11" a="1"/>
  <c r="G42" i="11" s="1"/>
  <c r="W2" i="10"/>
  <c r="AM42" i="3"/>
  <c r="AL41" i="3"/>
  <c r="AL40" i="3"/>
  <c r="AL39" i="3"/>
  <c r="AL4" i="3"/>
  <c r="C50" i="10"/>
  <c r="H55" i="10"/>
  <c r="I55" i="10" s="1"/>
  <c r="J55" i="10" s="1"/>
  <c r="K55" i="10" s="1"/>
  <c r="L55" i="10" s="1"/>
  <c r="M55" i="10" s="1"/>
  <c r="N55" i="10" s="1"/>
  <c r="O55" i="10" s="1"/>
  <c r="P55" i="10" s="1"/>
  <c r="Q55" i="10" s="1"/>
  <c r="R55" i="10" s="1"/>
  <c r="S55" i="10" s="1"/>
  <c r="T55" i="10" s="1"/>
  <c r="U55" i="10" s="1"/>
  <c r="V55" i="10" s="1"/>
  <c r="W55" i="10" s="1"/>
  <c r="X55" i="10" s="1"/>
  <c r="Y55" i="10" s="1"/>
  <c r="Z55" i="10" s="1"/>
  <c r="AA55" i="10" s="1"/>
  <c r="AB55" i="10" s="1"/>
  <c r="AC55" i="10" s="1"/>
  <c r="AD55" i="10" s="1"/>
  <c r="AE55" i="10" s="1"/>
  <c r="AF55" i="10" s="1"/>
  <c r="AG55" i="10" s="1"/>
  <c r="AH55" i="10" s="1"/>
  <c r="AI55" i="10" s="1"/>
  <c r="AJ55" i="10" s="1"/>
  <c r="AK55" i="10" s="1"/>
  <c r="AL55" i="10" s="1"/>
  <c r="AM55" i="10" s="1"/>
  <c r="AN55" i="10" s="1"/>
  <c r="AO55" i="10" s="1"/>
  <c r="AP55" i="10" s="1"/>
  <c r="AQ55" i="10" s="1"/>
  <c r="AR55" i="10" s="1"/>
  <c r="AS55" i="10" s="1"/>
  <c r="AT55" i="10" s="1"/>
  <c r="AU55" i="10" s="1"/>
  <c r="AV55" i="10" s="1"/>
  <c r="AW55" i="10" s="1"/>
  <c r="AX55" i="10" s="1"/>
  <c r="AY55" i="10" s="1"/>
  <c r="AZ55" i="10" s="1"/>
  <c r="BA55" i="10" s="1"/>
  <c r="BB55" i="10" s="1"/>
  <c r="BC55" i="10" s="1"/>
  <c r="BD55" i="10" s="1"/>
  <c r="CF6" i="10" s="1"/>
  <c r="CF17" i="10" s="1"/>
  <c r="S49" i="11" a="1"/>
  <c r="S49" i="11" s="1"/>
  <c r="S48" i="11" a="1"/>
  <c r="S48" i="11" s="1"/>
  <c r="S47" i="11" a="1"/>
  <c r="S47" i="11" s="1"/>
  <c r="S46" i="11" a="1"/>
  <c r="S46" i="11" s="1"/>
  <c r="S45" i="11" a="1"/>
  <c r="S45" i="11" s="1"/>
  <c r="S44" i="11" a="1"/>
  <c r="S44" i="11" s="1"/>
  <c r="S44" i="10" s="1"/>
  <c r="S42" i="11" a="1"/>
  <c r="S42" i="11" s="1"/>
  <c r="S42" i="10" s="1"/>
  <c r="S41" i="11" a="1"/>
  <c r="S41" i="11" s="1"/>
  <c r="S41" i="10" s="1"/>
  <c r="S40" i="11" a="1"/>
  <c r="S40" i="11" s="1"/>
  <c r="S40" i="10" s="1"/>
  <c r="S39" i="11" a="1"/>
  <c r="S39" i="11" s="1"/>
  <c r="S39" i="10" s="1"/>
  <c r="S38" i="11" a="1"/>
  <c r="S38" i="11" s="1"/>
  <c r="S38" i="10" s="1"/>
  <c r="S37" i="11" a="1"/>
  <c r="S37" i="11" s="1"/>
  <c r="S37" i="10" s="1"/>
  <c r="S36" i="11" a="1"/>
  <c r="S36" i="11" s="1"/>
  <c r="S36" i="10" s="1"/>
  <c r="S35" i="11" a="1"/>
  <c r="S35" i="11" s="1"/>
  <c r="S35" i="10" s="1"/>
  <c r="S34" i="11" a="1"/>
  <c r="S34" i="11" s="1"/>
  <c r="S34" i="10" s="1"/>
  <c r="S33" i="11" a="1"/>
  <c r="S33" i="11" s="1"/>
  <c r="S33" i="10" s="1"/>
  <c r="S32" i="11" a="1"/>
  <c r="S32" i="11" s="1"/>
  <c r="S32" i="10" s="1"/>
  <c r="S31" i="11" a="1"/>
  <c r="S31" i="11" s="1"/>
  <c r="S31" i="10" s="1"/>
  <c r="S30" i="11" a="1"/>
  <c r="S30" i="11" s="1"/>
  <c r="S30" i="10" s="1"/>
  <c r="S29" i="11" a="1"/>
  <c r="S29" i="11" s="1"/>
  <c r="S29" i="10" s="1"/>
  <c r="S28" i="11" a="1"/>
  <c r="S28" i="11" s="1"/>
  <c r="S28" i="10" s="1"/>
  <c r="S27" i="11" a="1"/>
  <c r="S27" i="11" s="1"/>
  <c r="S27" i="10" s="1"/>
  <c r="S26" i="11" a="1"/>
  <c r="S26" i="11" s="1"/>
  <c r="S26" i="10" s="1"/>
  <c r="S25" i="11" a="1"/>
  <c r="S25" i="11" s="1"/>
  <c r="S25" i="10" s="1"/>
  <c r="S24" i="11" a="1"/>
  <c r="S24" i="11" s="1"/>
  <c r="S24" i="10" s="1"/>
  <c r="S23" i="11" a="1"/>
  <c r="S23" i="11" s="1"/>
  <c r="S23" i="10" s="1"/>
  <c r="S22" i="11" a="1"/>
  <c r="S22" i="11" s="1"/>
  <c r="S22" i="10" s="1"/>
  <c r="S21" i="11" a="1"/>
  <c r="S21" i="11" s="1"/>
  <c r="S21" i="10" s="1"/>
  <c r="S20" i="11" a="1"/>
  <c r="S20" i="11" s="1"/>
  <c r="S20" i="10" s="1"/>
  <c r="S19" i="11" a="1"/>
  <c r="S19" i="11" s="1"/>
  <c r="S19" i="10" s="1"/>
  <c r="S18" i="11" a="1"/>
  <c r="S18" i="11" s="1"/>
  <c r="S18" i="10" s="1"/>
  <c r="S17" i="11" a="1"/>
  <c r="S17" i="11" s="1"/>
  <c r="S17" i="10" s="1"/>
  <c r="S16" i="11" a="1"/>
  <c r="S16" i="11" s="1"/>
  <c r="S16" i="10" s="1"/>
  <c r="S15" i="11" a="1"/>
  <c r="S15" i="11" s="1"/>
  <c r="S15" i="10" s="1"/>
  <c r="S14" i="11" a="1"/>
  <c r="S14" i="11" s="1"/>
  <c r="S14" i="10" s="1"/>
  <c r="S13" i="11" a="1"/>
  <c r="S13" i="11" s="1"/>
  <c r="S13" i="10" s="1"/>
  <c r="S12" i="11" a="1"/>
  <c r="S12" i="11" s="1"/>
  <c r="S12" i="10" s="1"/>
  <c r="S11" i="11" a="1"/>
  <c r="S11" i="11" s="1"/>
  <c r="S11" i="10" s="1"/>
  <c r="S10" i="11" a="1"/>
  <c r="S10" i="11" s="1"/>
  <c r="S10" i="10" s="1"/>
  <c r="S9" i="11" a="1"/>
  <c r="S9" i="11" s="1"/>
  <c r="S9" i="10" s="1"/>
  <c r="S8" i="11" a="1"/>
  <c r="S8" i="11" s="1"/>
  <c r="S8" i="10" s="1"/>
  <c r="S7" i="11" a="1"/>
  <c r="S7" i="11" s="1"/>
  <c r="S7" i="10" s="1"/>
  <c r="S6" i="11" a="1"/>
  <c r="S6" i="11" s="1"/>
  <c r="S6" i="10" s="1"/>
  <c r="S5" i="11" a="1"/>
  <c r="S5" i="11" s="1"/>
  <c r="S5" i="10" s="1"/>
  <c r="S4" i="11" a="1"/>
  <c r="S4" i="11" s="1"/>
  <c r="S4" i="10" s="1"/>
  <c r="S2" i="11" a="1"/>
  <c r="S2" i="11" s="1"/>
  <c r="S2" i="10" s="1"/>
  <c r="R50" i="11"/>
  <c r="S3" i="11" a="1"/>
  <c r="S3" i="11" s="1"/>
  <c r="S3" i="10" s="1"/>
  <c r="X2" i="11" a="1"/>
  <c r="X2" i="11" s="1"/>
  <c r="W50" i="11"/>
  <c r="X5" i="11" a="1"/>
  <c r="X5" i="11" s="1"/>
  <c r="X5" i="10" s="1"/>
  <c r="X3" i="11" a="1"/>
  <c r="X3" i="11" s="1"/>
  <c r="X3" i="10" s="1"/>
  <c r="X4" i="11" a="1"/>
  <c r="X4" i="11" s="1"/>
  <c r="X4" i="10" s="1"/>
  <c r="X49" i="11" a="1"/>
  <c r="X49" i="11" s="1"/>
  <c r="X48" i="11" a="1"/>
  <c r="X48" i="11" s="1"/>
  <c r="X47" i="11" a="1"/>
  <c r="X47" i="11" s="1"/>
  <c r="X46" i="11" a="1"/>
  <c r="X46" i="11" s="1"/>
  <c r="X45" i="11" a="1"/>
  <c r="X45" i="11" s="1"/>
  <c r="X44" i="11" a="1"/>
  <c r="X44" i="11" s="1"/>
  <c r="X44" i="10" s="1"/>
  <c r="X42" i="11" a="1"/>
  <c r="X42" i="11" s="1"/>
  <c r="X42" i="10" s="1"/>
  <c r="X41" i="11" a="1"/>
  <c r="X41" i="11" s="1"/>
  <c r="X41" i="10" s="1"/>
  <c r="X40" i="11" a="1"/>
  <c r="X40" i="11" s="1"/>
  <c r="X40" i="10" s="1"/>
  <c r="X39" i="11" a="1"/>
  <c r="X39" i="11" s="1"/>
  <c r="X39" i="10" s="1"/>
  <c r="X38" i="11" a="1"/>
  <c r="X38" i="11" s="1"/>
  <c r="X38" i="10" s="1"/>
  <c r="X37" i="11" a="1"/>
  <c r="X37" i="11" s="1"/>
  <c r="X37" i="10" s="1"/>
  <c r="X36" i="11" a="1"/>
  <c r="X36" i="11" s="1"/>
  <c r="X36" i="10" s="1"/>
  <c r="X35" i="11" a="1"/>
  <c r="X35" i="11" s="1"/>
  <c r="X35" i="10" s="1"/>
  <c r="X34" i="11" a="1"/>
  <c r="X34" i="11" s="1"/>
  <c r="X34" i="10" s="1"/>
  <c r="X33" i="11" a="1"/>
  <c r="X33" i="11" s="1"/>
  <c r="X33" i="10" s="1"/>
  <c r="X32" i="11" a="1"/>
  <c r="X32" i="11" s="1"/>
  <c r="X32" i="10" s="1"/>
  <c r="X31" i="11" a="1"/>
  <c r="X31" i="11" s="1"/>
  <c r="X31" i="10" s="1"/>
  <c r="X30" i="11" a="1"/>
  <c r="X30" i="11" s="1"/>
  <c r="X30" i="10" s="1"/>
  <c r="X29" i="11" a="1"/>
  <c r="X29" i="11" s="1"/>
  <c r="X29" i="10" s="1"/>
  <c r="X28" i="11" a="1"/>
  <c r="X28" i="11" s="1"/>
  <c r="X28" i="10" s="1"/>
  <c r="X27" i="11" a="1"/>
  <c r="X27" i="11" s="1"/>
  <c r="X27" i="10" s="1"/>
  <c r="X26" i="11" a="1"/>
  <c r="X26" i="11" s="1"/>
  <c r="X26" i="10" s="1"/>
  <c r="X25" i="11" a="1"/>
  <c r="X25" i="11" s="1"/>
  <c r="X25" i="10" s="1"/>
  <c r="X24" i="11" a="1"/>
  <c r="X24" i="11" s="1"/>
  <c r="X24" i="10" s="1"/>
  <c r="X23" i="11" a="1"/>
  <c r="X23" i="11" s="1"/>
  <c r="X23" i="10" s="1"/>
  <c r="X22" i="11" a="1"/>
  <c r="X22" i="11" s="1"/>
  <c r="X22" i="10" s="1"/>
  <c r="X21" i="11" a="1"/>
  <c r="X21" i="11" s="1"/>
  <c r="X21" i="10" s="1"/>
  <c r="X20" i="11" a="1"/>
  <c r="X20" i="11" s="1"/>
  <c r="X20" i="10" s="1"/>
  <c r="X19" i="11" a="1"/>
  <c r="X19" i="11" s="1"/>
  <c r="X19" i="10" s="1"/>
  <c r="X18" i="11" a="1"/>
  <c r="X18" i="11" s="1"/>
  <c r="X18" i="10" s="1"/>
  <c r="X17" i="11" a="1"/>
  <c r="X17" i="11" s="1"/>
  <c r="X17" i="10" s="1"/>
  <c r="X16" i="11" a="1"/>
  <c r="X16" i="11" s="1"/>
  <c r="X16" i="10" s="1"/>
  <c r="X15" i="11" a="1"/>
  <c r="X15" i="11" s="1"/>
  <c r="X15" i="10" s="1"/>
  <c r="X14" i="11" a="1"/>
  <c r="X14" i="11" s="1"/>
  <c r="X14" i="10" s="1"/>
  <c r="X13" i="11" a="1"/>
  <c r="X13" i="11" s="1"/>
  <c r="X13" i="10" s="1"/>
  <c r="X12" i="11" a="1"/>
  <c r="X12" i="11" s="1"/>
  <c r="X12" i="10" s="1"/>
  <c r="X11" i="11" a="1"/>
  <c r="X11" i="11" s="1"/>
  <c r="X11" i="10" s="1"/>
  <c r="X10" i="11" a="1"/>
  <c r="X10" i="11" s="1"/>
  <c r="X10" i="10" s="1"/>
  <c r="X9" i="11" a="1"/>
  <c r="X9" i="11" s="1"/>
  <c r="X9" i="10" s="1"/>
  <c r="X8" i="11" a="1"/>
  <c r="X8" i="11" s="1"/>
  <c r="X8" i="10" s="1"/>
  <c r="X7" i="11" a="1"/>
  <c r="X7" i="11" s="1"/>
  <c r="X7" i="10" s="1"/>
  <c r="X6" i="11" a="1"/>
  <c r="X6" i="11" s="1"/>
  <c r="AE49" i="11" a="1"/>
  <c r="AE49" i="11" s="1"/>
  <c r="AE48" i="11" a="1"/>
  <c r="AE48" i="11" s="1"/>
  <c r="AE47" i="11" a="1"/>
  <c r="AE47" i="11" s="1"/>
  <c r="AE46" i="11" a="1"/>
  <c r="AE46" i="11" s="1"/>
  <c r="AE45" i="11" a="1"/>
  <c r="AE45" i="11" s="1"/>
  <c r="AE44" i="11" a="1"/>
  <c r="AE44" i="11" s="1"/>
  <c r="AE44" i="10" s="1"/>
  <c r="AE42" i="11" a="1"/>
  <c r="AE42" i="11" s="1"/>
  <c r="AE42" i="10" s="1"/>
  <c r="AE41" i="11" a="1"/>
  <c r="AE41" i="11" s="1"/>
  <c r="AE41" i="10" s="1"/>
  <c r="AE40" i="11" a="1"/>
  <c r="AE40" i="11" s="1"/>
  <c r="AE40" i="10" s="1"/>
  <c r="AE39" i="11" a="1"/>
  <c r="AE39" i="11" s="1"/>
  <c r="AE39" i="10" s="1"/>
  <c r="AE38" i="11" a="1"/>
  <c r="AE38" i="11" s="1"/>
  <c r="AE38" i="10" s="1"/>
  <c r="AE37" i="11" a="1"/>
  <c r="AE37" i="11" s="1"/>
  <c r="AE37" i="10" s="1"/>
  <c r="AE36" i="11" a="1"/>
  <c r="AE36" i="11" s="1"/>
  <c r="AE36" i="10" s="1"/>
  <c r="AE35" i="11" a="1"/>
  <c r="AE35" i="11" s="1"/>
  <c r="AE35" i="10" s="1"/>
  <c r="AE34" i="11" a="1"/>
  <c r="AE34" i="11" s="1"/>
  <c r="AE34" i="10" s="1"/>
  <c r="AE33" i="11" a="1"/>
  <c r="AE33" i="11" s="1"/>
  <c r="AE33" i="10" s="1"/>
  <c r="AE32" i="11" a="1"/>
  <c r="AE32" i="11" s="1"/>
  <c r="AE32" i="10" s="1"/>
  <c r="AE31" i="11" a="1"/>
  <c r="AE31" i="11" s="1"/>
  <c r="AE31" i="10" s="1"/>
  <c r="AE30" i="11" a="1"/>
  <c r="AE30" i="11" s="1"/>
  <c r="AE30" i="10" s="1"/>
  <c r="AE29" i="11" a="1"/>
  <c r="AE29" i="11" s="1"/>
  <c r="AE29" i="10" s="1"/>
  <c r="AE28" i="11" a="1"/>
  <c r="AE28" i="11" s="1"/>
  <c r="AE28" i="10" s="1"/>
  <c r="AE27" i="11" a="1"/>
  <c r="AE27" i="11" s="1"/>
  <c r="AE27" i="10" s="1"/>
  <c r="AE26" i="11" a="1"/>
  <c r="AE26" i="11" s="1"/>
  <c r="AE26" i="10" s="1"/>
  <c r="AE25" i="11" a="1"/>
  <c r="AE25" i="11" s="1"/>
  <c r="AE25" i="10" s="1"/>
  <c r="AE24" i="11" a="1"/>
  <c r="AE24" i="11" s="1"/>
  <c r="AE24" i="10" s="1"/>
  <c r="AE23" i="11" a="1"/>
  <c r="AE23" i="11" s="1"/>
  <c r="AE23" i="10" s="1"/>
  <c r="AE22" i="11" a="1"/>
  <c r="AE22" i="11" s="1"/>
  <c r="AE22" i="10" s="1"/>
  <c r="AE21" i="11" a="1"/>
  <c r="AE21" i="11" s="1"/>
  <c r="AE21" i="10" s="1"/>
  <c r="AE20" i="11" a="1"/>
  <c r="AE20" i="11" s="1"/>
  <c r="AE20" i="10" s="1"/>
  <c r="AE19" i="11" a="1"/>
  <c r="AE19" i="11" s="1"/>
  <c r="AE19" i="10" s="1"/>
  <c r="AE18" i="11" a="1"/>
  <c r="AE18" i="11" s="1"/>
  <c r="AE18" i="10" s="1"/>
  <c r="AE17" i="11" a="1"/>
  <c r="AE17" i="11" s="1"/>
  <c r="AE17" i="10" s="1"/>
  <c r="AE16" i="11" a="1"/>
  <c r="AE16" i="11" s="1"/>
  <c r="AE16" i="10" s="1"/>
  <c r="AE15" i="11" a="1"/>
  <c r="AE15" i="11" s="1"/>
  <c r="AE15" i="10" s="1"/>
  <c r="AE14" i="11" a="1"/>
  <c r="AE14" i="11" s="1"/>
  <c r="AE14" i="10" s="1"/>
  <c r="AE13" i="11" a="1"/>
  <c r="AE13" i="11" s="1"/>
  <c r="AE13" i="10" s="1"/>
  <c r="AE12" i="11" a="1"/>
  <c r="AE12" i="11" s="1"/>
  <c r="AE12" i="10" s="1"/>
  <c r="AE11" i="11" a="1"/>
  <c r="AE11" i="11" s="1"/>
  <c r="AE11" i="10" s="1"/>
  <c r="AE10" i="11" a="1"/>
  <c r="AE10" i="11" s="1"/>
  <c r="AE10" i="10" s="1"/>
  <c r="AE9" i="11" a="1"/>
  <c r="AE9" i="11" s="1"/>
  <c r="AE9" i="10" s="1"/>
  <c r="AE8" i="11" a="1"/>
  <c r="AE8" i="11" s="1"/>
  <c r="AE8" i="10" s="1"/>
  <c r="AE7" i="11" a="1"/>
  <c r="AE7" i="11" s="1"/>
  <c r="AE7" i="10" s="1"/>
  <c r="AE6" i="11" a="1"/>
  <c r="AE6" i="11" s="1"/>
  <c r="AE6" i="10" s="1"/>
  <c r="AE5" i="11" a="1"/>
  <c r="AE5" i="11" s="1"/>
  <c r="AE5" i="10" s="1"/>
  <c r="AE4" i="11" a="1"/>
  <c r="AE4" i="11" s="1"/>
  <c r="AE4" i="10" s="1"/>
  <c r="AE2" i="11" a="1"/>
  <c r="AE2" i="11" s="1"/>
  <c r="AE2" i="10" s="1"/>
  <c r="AD50" i="11"/>
  <c r="AE3" i="11" a="1"/>
  <c r="AE3" i="11" s="1"/>
  <c r="AE3" i="10" s="1"/>
  <c r="AJ49" i="11" a="1"/>
  <c r="AJ49" i="11" s="1"/>
  <c r="AJ48" i="11" a="1"/>
  <c r="AJ48" i="11" s="1"/>
  <c r="AJ47" i="11" a="1"/>
  <c r="AJ47" i="11" s="1"/>
  <c r="AJ46" i="11" a="1"/>
  <c r="AJ46" i="11" s="1"/>
  <c r="AJ45" i="11" a="1"/>
  <c r="AJ45" i="11" s="1"/>
  <c r="AJ44" i="11" a="1"/>
  <c r="AJ44" i="11" s="1"/>
  <c r="AJ44" i="10" s="1"/>
  <c r="AJ42" i="11" a="1"/>
  <c r="AJ42" i="11" s="1"/>
  <c r="AJ42" i="10" s="1"/>
  <c r="AJ41" i="11" a="1"/>
  <c r="AJ41" i="11" s="1"/>
  <c r="AJ41" i="10" s="1"/>
  <c r="AJ40" i="11" a="1"/>
  <c r="AJ40" i="11" s="1"/>
  <c r="AJ40" i="10" s="1"/>
  <c r="AJ39" i="11" a="1"/>
  <c r="AJ39" i="11" s="1"/>
  <c r="AJ39" i="10" s="1"/>
  <c r="AJ38" i="11" a="1"/>
  <c r="AJ38" i="11" s="1"/>
  <c r="AJ38" i="10" s="1"/>
  <c r="AJ37" i="11" a="1"/>
  <c r="AJ37" i="11" s="1"/>
  <c r="AJ37" i="10" s="1"/>
  <c r="AJ36" i="11" a="1"/>
  <c r="AJ36" i="11" s="1"/>
  <c r="AJ36" i="10" s="1"/>
  <c r="AJ35" i="11" a="1"/>
  <c r="AJ35" i="11" s="1"/>
  <c r="AJ35" i="10" s="1"/>
  <c r="AJ34" i="11" a="1"/>
  <c r="AJ34" i="11" s="1"/>
  <c r="AJ34" i="10" s="1"/>
  <c r="AJ33" i="11" a="1"/>
  <c r="AJ33" i="11" s="1"/>
  <c r="AJ33" i="10" s="1"/>
  <c r="AJ32" i="11" a="1"/>
  <c r="AJ32" i="11" s="1"/>
  <c r="AJ32" i="10" s="1"/>
  <c r="AJ31" i="11" a="1"/>
  <c r="AJ31" i="11" s="1"/>
  <c r="AJ31" i="10" s="1"/>
  <c r="AJ30" i="11" a="1"/>
  <c r="AJ30" i="11" s="1"/>
  <c r="AJ30" i="10" s="1"/>
  <c r="AJ29" i="11" a="1"/>
  <c r="AJ29" i="11" s="1"/>
  <c r="AJ29" i="10" s="1"/>
  <c r="AJ28" i="11" a="1"/>
  <c r="AJ28" i="11" s="1"/>
  <c r="AJ28" i="10" s="1"/>
  <c r="AJ27" i="11" a="1"/>
  <c r="AJ27" i="11" s="1"/>
  <c r="AJ27" i="10" s="1"/>
  <c r="AJ26" i="11" a="1"/>
  <c r="AJ26" i="11" s="1"/>
  <c r="AJ26" i="10" s="1"/>
  <c r="AJ25" i="11" a="1"/>
  <c r="AJ25" i="11" s="1"/>
  <c r="AJ25" i="10" s="1"/>
  <c r="AJ24" i="11" a="1"/>
  <c r="AJ24" i="11" s="1"/>
  <c r="AJ24" i="10" s="1"/>
  <c r="AJ23" i="11" a="1"/>
  <c r="AJ23" i="11" s="1"/>
  <c r="AJ23" i="10" s="1"/>
  <c r="AJ22" i="11" a="1"/>
  <c r="AJ22" i="11" s="1"/>
  <c r="AJ22" i="10" s="1"/>
  <c r="AJ21" i="11" a="1"/>
  <c r="AJ21" i="11" s="1"/>
  <c r="AJ21" i="10" s="1"/>
  <c r="AJ20" i="11" a="1"/>
  <c r="AJ20" i="11" s="1"/>
  <c r="AJ20" i="10" s="1"/>
  <c r="AJ19" i="11" a="1"/>
  <c r="AJ19" i="11" s="1"/>
  <c r="AJ19" i="10" s="1"/>
  <c r="AJ18" i="11" a="1"/>
  <c r="AJ18" i="11" s="1"/>
  <c r="AJ18" i="10" s="1"/>
  <c r="AJ17" i="11" a="1"/>
  <c r="AJ17" i="11" s="1"/>
  <c r="AJ17" i="10" s="1"/>
  <c r="AJ16" i="11" a="1"/>
  <c r="AJ16" i="11" s="1"/>
  <c r="AJ16" i="10" s="1"/>
  <c r="AJ15" i="11" a="1"/>
  <c r="AJ15" i="11" s="1"/>
  <c r="AJ15" i="10" s="1"/>
  <c r="AJ14" i="11" a="1"/>
  <c r="AJ14" i="11" s="1"/>
  <c r="AJ14" i="10" s="1"/>
  <c r="AJ13" i="11" a="1"/>
  <c r="AJ13" i="11" s="1"/>
  <c r="AJ13" i="10" s="1"/>
  <c r="AJ12" i="11" a="1"/>
  <c r="AJ12" i="11" s="1"/>
  <c r="AJ12" i="10" s="1"/>
  <c r="AJ11" i="11" a="1"/>
  <c r="AJ11" i="11" s="1"/>
  <c r="AJ11" i="10" s="1"/>
  <c r="AJ10" i="11" a="1"/>
  <c r="AJ10" i="11" s="1"/>
  <c r="AJ10" i="10" s="1"/>
  <c r="AJ9" i="11" a="1"/>
  <c r="AJ9" i="11" s="1"/>
  <c r="AJ9" i="10" s="1"/>
  <c r="AJ8" i="11" a="1"/>
  <c r="AJ8" i="11" s="1"/>
  <c r="AJ8" i="10" s="1"/>
  <c r="AJ7" i="11" a="1"/>
  <c r="AJ7" i="11" s="1"/>
  <c r="AJ7" i="10" s="1"/>
  <c r="AJ6" i="11" a="1"/>
  <c r="AJ6" i="11" s="1"/>
  <c r="AJ6" i="10" s="1"/>
  <c r="AJ5" i="11" a="1"/>
  <c r="AJ5" i="11" s="1"/>
  <c r="AJ5" i="10" s="1"/>
  <c r="AJ4" i="11" a="1"/>
  <c r="AJ4" i="11" s="1"/>
  <c r="AJ4" i="10" s="1"/>
  <c r="AJ2" i="11" a="1"/>
  <c r="AJ2" i="11" s="1"/>
  <c r="AJ2" i="10" s="1"/>
  <c r="AI50" i="11"/>
  <c r="AJ3" i="11" a="1"/>
  <c r="AJ3" i="11" s="1"/>
  <c r="AQ49" i="11" a="1"/>
  <c r="AQ49" i="11" s="1"/>
  <c r="AQ48" i="11" a="1"/>
  <c r="AQ48" i="11" s="1"/>
  <c r="AQ47" i="11" a="1"/>
  <c r="AQ47" i="11" s="1"/>
  <c r="AQ46" i="11" a="1"/>
  <c r="AQ46" i="11" s="1"/>
  <c r="AQ45" i="11" a="1"/>
  <c r="AQ45" i="11" s="1"/>
  <c r="AQ44" i="11" a="1"/>
  <c r="AQ44" i="11" s="1"/>
  <c r="AQ44" i="10" s="1"/>
  <c r="AQ42" i="11" a="1"/>
  <c r="AQ42" i="11" s="1"/>
  <c r="AQ42" i="10" s="1"/>
  <c r="AQ41" i="11" a="1"/>
  <c r="AQ41" i="11" s="1"/>
  <c r="AQ41" i="10" s="1"/>
  <c r="AQ40" i="11" a="1"/>
  <c r="AQ40" i="11" s="1"/>
  <c r="AQ40" i="10" s="1"/>
  <c r="AQ39" i="11" a="1"/>
  <c r="AQ39" i="11" s="1"/>
  <c r="AQ39" i="10" s="1"/>
  <c r="AQ38" i="11" a="1"/>
  <c r="AQ38" i="11" s="1"/>
  <c r="AQ38" i="10" s="1"/>
  <c r="AQ37" i="11" a="1"/>
  <c r="AQ37" i="11" s="1"/>
  <c r="AQ37" i="10" s="1"/>
  <c r="AQ36" i="11" a="1"/>
  <c r="AQ36" i="11" s="1"/>
  <c r="AQ36" i="10" s="1"/>
  <c r="AQ35" i="11" a="1"/>
  <c r="AQ35" i="11" s="1"/>
  <c r="AQ35" i="10" s="1"/>
  <c r="AQ34" i="11" a="1"/>
  <c r="AQ34" i="11" s="1"/>
  <c r="AQ34" i="10" s="1"/>
  <c r="AQ33" i="11" a="1"/>
  <c r="AQ33" i="11" s="1"/>
  <c r="AQ33" i="10" s="1"/>
  <c r="AQ32" i="11" a="1"/>
  <c r="AQ32" i="11" s="1"/>
  <c r="AQ32" i="10" s="1"/>
  <c r="AQ31" i="11" a="1"/>
  <c r="AQ31" i="11" s="1"/>
  <c r="AQ31" i="10" s="1"/>
  <c r="AQ30" i="11" a="1"/>
  <c r="AQ30" i="11" s="1"/>
  <c r="AQ30" i="10" s="1"/>
  <c r="AQ29" i="11" a="1"/>
  <c r="AQ29" i="11" s="1"/>
  <c r="AQ29" i="10" s="1"/>
  <c r="AQ28" i="11" a="1"/>
  <c r="AQ28" i="11" s="1"/>
  <c r="AQ28" i="10" s="1"/>
  <c r="AQ27" i="11" a="1"/>
  <c r="AQ27" i="11" s="1"/>
  <c r="AQ27" i="10" s="1"/>
  <c r="AQ26" i="11" a="1"/>
  <c r="AQ26" i="11" s="1"/>
  <c r="AQ26" i="10" s="1"/>
  <c r="AQ25" i="11" a="1"/>
  <c r="AQ25" i="11" s="1"/>
  <c r="AQ25" i="10" s="1"/>
  <c r="AQ24" i="11" a="1"/>
  <c r="AQ24" i="11" s="1"/>
  <c r="AQ24" i="10" s="1"/>
  <c r="AQ23" i="11" a="1"/>
  <c r="AQ23" i="11" s="1"/>
  <c r="AQ23" i="10" s="1"/>
  <c r="AQ22" i="11" a="1"/>
  <c r="AQ22" i="11" s="1"/>
  <c r="AQ22" i="10" s="1"/>
  <c r="AQ21" i="11" a="1"/>
  <c r="AQ21" i="11" s="1"/>
  <c r="AQ21" i="10" s="1"/>
  <c r="AQ20" i="11" a="1"/>
  <c r="AQ20" i="11" s="1"/>
  <c r="AQ20" i="10" s="1"/>
  <c r="AQ19" i="11" a="1"/>
  <c r="AQ19" i="11" s="1"/>
  <c r="AQ19" i="10" s="1"/>
  <c r="AQ18" i="11" a="1"/>
  <c r="AQ18" i="11" s="1"/>
  <c r="AQ18" i="10" s="1"/>
  <c r="AQ17" i="11" a="1"/>
  <c r="AQ17" i="11" s="1"/>
  <c r="AQ17" i="10" s="1"/>
  <c r="AQ16" i="11" a="1"/>
  <c r="AQ16" i="11" s="1"/>
  <c r="AQ16" i="10" s="1"/>
  <c r="AQ15" i="11" a="1"/>
  <c r="AQ15" i="11" s="1"/>
  <c r="AQ15" i="10" s="1"/>
  <c r="AQ14" i="11" a="1"/>
  <c r="AQ14" i="11" s="1"/>
  <c r="AQ14" i="10" s="1"/>
  <c r="AQ13" i="11" a="1"/>
  <c r="AQ13" i="11" s="1"/>
  <c r="AQ13" i="10" s="1"/>
  <c r="AQ12" i="11" a="1"/>
  <c r="AQ12" i="11" s="1"/>
  <c r="AQ12" i="10" s="1"/>
  <c r="AQ11" i="11" a="1"/>
  <c r="AQ11" i="11" s="1"/>
  <c r="AQ11" i="10" s="1"/>
  <c r="AQ10" i="11" a="1"/>
  <c r="AQ10" i="11" s="1"/>
  <c r="AQ10" i="10" s="1"/>
  <c r="AQ9" i="11" a="1"/>
  <c r="AQ9" i="11" s="1"/>
  <c r="AQ9" i="10" s="1"/>
  <c r="AQ8" i="11" a="1"/>
  <c r="AQ8" i="11" s="1"/>
  <c r="AQ8" i="10" s="1"/>
  <c r="AQ7" i="11" a="1"/>
  <c r="AQ7" i="11" s="1"/>
  <c r="AQ7" i="10" s="1"/>
  <c r="AQ6" i="11" a="1"/>
  <c r="AQ6" i="11" s="1"/>
  <c r="AQ6" i="10" s="1"/>
  <c r="AQ5" i="11" a="1"/>
  <c r="AQ5" i="11" s="1"/>
  <c r="AQ5" i="10" s="1"/>
  <c r="AQ4" i="11" a="1"/>
  <c r="AQ4" i="11" s="1"/>
  <c r="AQ4" i="10" s="1"/>
  <c r="AQ2" i="11" a="1"/>
  <c r="AQ2" i="11" s="1"/>
  <c r="AQ2" i="10" s="1"/>
  <c r="AP50" i="11"/>
  <c r="AQ3" i="11" a="1"/>
  <c r="AQ3" i="11" s="1"/>
  <c r="AQ3" i="10" s="1"/>
  <c r="AV49" i="11" a="1"/>
  <c r="AV49" i="11" s="1"/>
  <c r="AV48" i="11" a="1"/>
  <c r="AV48" i="11" s="1"/>
  <c r="AV47" i="11" a="1"/>
  <c r="AV47" i="11" s="1"/>
  <c r="AV46" i="11" a="1"/>
  <c r="AV46" i="11" s="1"/>
  <c r="AV45" i="11" a="1"/>
  <c r="AV45" i="11" s="1"/>
  <c r="AV44" i="11" a="1"/>
  <c r="AV44" i="11" s="1"/>
  <c r="AV44" i="10" s="1"/>
  <c r="AV42" i="11" a="1"/>
  <c r="AV42" i="11" s="1"/>
  <c r="AV42" i="10" s="1"/>
  <c r="AV41" i="11" a="1"/>
  <c r="AV41" i="11" s="1"/>
  <c r="AV41" i="10" s="1"/>
  <c r="AV40" i="11" a="1"/>
  <c r="AV40" i="11" s="1"/>
  <c r="AV40" i="10" s="1"/>
  <c r="AV39" i="11" a="1"/>
  <c r="AV39" i="11" s="1"/>
  <c r="AV39" i="10" s="1"/>
  <c r="AV38" i="11" a="1"/>
  <c r="AV38" i="11" s="1"/>
  <c r="AV38" i="10" s="1"/>
  <c r="AV37" i="11" a="1"/>
  <c r="AV37" i="11" s="1"/>
  <c r="AV37" i="10" s="1"/>
  <c r="AV36" i="11" a="1"/>
  <c r="AV36" i="11" s="1"/>
  <c r="AV36" i="10" s="1"/>
  <c r="AV35" i="11" a="1"/>
  <c r="AV35" i="11" s="1"/>
  <c r="AV35" i="10" s="1"/>
  <c r="AV34" i="11" a="1"/>
  <c r="AV34" i="11" s="1"/>
  <c r="AV34" i="10" s="1"/>
  <c r="AV33" i="11" a="1"/>
  <c r="AV33" i="11" s="1"/>
  <c r="AV33" i="10" s="1"/>
  <c r="AV32" i="11" a="1"/>
  <c r="AV32" i="11" s="1"/>
  <c r="AV32" i="10" s="1"/>
  <c r="AV31" i="11" a="1"/>
  <c r="AV31" i="11" s="1"/>
  <c r="AV31" i="10" s="1"/>
  <c r="AV30" i="11" a="1"/>
  <c r="AV30" i="11" s="1"/>
  <c r="AV30" i="10" s="1"/>
  <c r="AV29" i="11" a="1"/>
  <c r="AV29" i="11" s="1"/>
  <c r="AV29" i="10" s="1"/>
  <c r="AV28" i="11" a="1"/>
  <c r="AV28" i="11" s="1"/>
  <c r="AV28" i="10" s="1"/>
  <c r="AV27" i="11" a="1"/>
  <c r="AV27" i="11" s="1"/>
  <c r="AV27" i="10" s="1"/>
  <c r="AV26" i="11" a="1"/>
  <c r="AV26" i="11" s="1"/>
  <c r="AV26" i="10" s="1"/>
  <c r="AV25" i="11" a="1"/>
  <c r="AV25" i="11" s="1"/>
  <c r="AV25" i="10" s="1"/>
  <c r="AV24" i="11" a="1"/>
  <c r="AV24" i="11" s="1"/>
  <c r="AV24" i="10" s="1"/>
  <c r="AV23" i="11" a="1"/>
  <c r="AV23" i="11" s="1"/>
  <c r="AV23" i="10" s="1"/>
  <c r="AV22" i="11" a="1"/>
  <c r="AV22" i="11" s="1"/>
  <c r="AV22" i="10" s="1"/>
  <c r="AV21" i="11" a="1"/>
  <c r="AV21" i="11" s="1"/>
  <c r="AV21" i="10" s="1"/>
  <c r="AV20" i="11" a="1"/>
  <c r="AV20" i="11" s="1"/>
  <c r="AV20" i="10" s="1"/>
  <c r="AV19" i="11" a="1"/>
  <c r="AV19" i="11" s="1"/>
  <c r="AV19" i="10" s="1"/>
  <c r="AV18" i="11" a="1"/>
  <c r="AV18" i="11" s="1"/>
  <c r="AV18" i="10" s="1"/>
  <c r="AV17" i="11" a="1"/>
  <c r="AV17" i="11" s="1"/>
  <c r="AV17" i="10" s="1"/>
  <c r="AV16" i="11" a="1"/>
  <c r="AV16" i="11" s="1"/>
  <c r="AV16" i="10" s="1"/>
  <c r="AV15" i="11" a="1"/>
  <c r="AV15" i="11" s="1"/>
  <c r="AV15" i="10" s="1"/>
  <c r="AV14" i="11" a="1"/>
  <c r="AV14" i="11" s="1"/>
  <c r="AV14" i="10" s="1"/>
  <c r="AV13" i="11" a="1"/>
  <c r="AV13" i="11" s="1"/>
  <c r="AV13" i="10" s="1"/>
  <c r="AV12" i="11" a="1"/>
  <c r="AV12" i="11" s="1"/>
  <c r="AV12" i="10" s="1"/>
  <c r="AV11" i="11" a="1"/>
  <c r="AV11" i="11" s="1"/>
  <c r="AV11" i="10" s="1"/>
  <c r="AV10" i="11" a="1"/>
  <c r="AV10" i="11" s="1"/>
  <c r="AV10" i="10" s="1"/>
  <c r="AV9" i="11" a="1"/>
  <c r="AV9" i="11" s="1"/>
  <c r="AV9" i="10" s="1"/>
  <c r="AV8" i="11" a="1"/>
  <c r="AV8" i="11" s="1"/>
  <c r="AV8" i="10" s="1"/>
  <c r="AV7" i="11" a="1"/>
  <c r="AV7" i="11" s="1"/>
  <c r="AV7" i="10" s="1"/>
  <c r="AV6" i="11" a="1"/>
  <c r="AV6" i="11" s="1"/>
  <c r="AV6" i="10" s="1"/>
  <c r="AV5" i="11" a="1"/>
  <c r="AV5" i="11" s="1"/>
  <c r="AV5" i="10" s="1"/>
  <c r="AV4" i="11" a="1"/>
  <c r="AV4" i="11" s="1"/>
  <c r="AV4" i="10" s="1"/>
  <c r="AV2" i="11" a="1"/>
  <c r="AV2" i="11" s="1"/>
  <c r="AV2" i="10" s="1"/>
  <c r="AU50" i="11"/>
  <c r="AV3" i="11" a="1"/>
  <c r="AV3" i="11" s="1"/>
  <c r="BC49" i="11" a="1"/>
  <c r="BC49" i="11" s="1"/>
  <c r="BC48" i="11" a="1"/>
  <c r="BC48" i="11" s="1"/>
  <c r="BC47" i="11" a="1"/>
  <c r="BC47" i="11" s="1"/>
  <c r="BC46" i="11" a="1"/>
  <c r="BC46" i="11" s="1"/>
  <c r="BC45" i="11" a="1"/>
  <c r="BC45" i="11" s="1"/>
  <c r="BC44" i="11" a="1"/>
  <c r="BC44" i="11" s="1"/>
  <c r="BC44" i="10" s="1"/>
  <c r="BC42" i="11" a="1"/>
  <c r="BC42" i="11" s="1"/>
  <c r="BC42" i="10" s="1"/>
  <c r="BC41" i="11" a="1"/>
  <c r="BC41" i="11" s="1"/>
  <c r="BC41" i="10" s="1"/>
  <c r="BC40" i="11" a="1"/>
  <c r="BC40" i="11" s="1"/>
  <c r="BC40" i="10" s="1"/>
  <c r="BC39" i="11" a="1"/>
  <c r="BC39" i="11" s="1"/>
  <c r="BC39" i="10" s="1"/>
  <c r="BC38" i="11" a="1"/>
  <c r="BC38" i="11" s="1"/>
  <c r="BC38" i="10" s="1"/>
  <c r="BC37" i="11" a="1"/>
  <c r="BC37" i="11" s="1"/>
  <c r="BC37" i="10" s="1"/>
  <c r="BC36" i="11" a="1"/>
  <c r="BC36" i="11" s="1"/>
  <c r="BC36" i="10" s="1"/>
  <c r="BC35" i="11" a="1"/>
  <c r="BC35" i="11" s="1"/>
  <c r="BC35" i="10" s="1"/>
  <c r="BC34" i="11" a="1"/>
  <c r="BC34" i="11" s="1"/>
  <c r="BC34" i="10" s="1"/>
  <c r="BC33" i="11" a="1"/>
  <c r="BC33" i="11" s="1"/>
  <c r="BC33" i="10" s="1"/>
  <c r="BC32" i="11" a="1"/>
  <c r="BC32" i="11" s="1"/>
  <c r="BC32" i="10" s="1"/>
  <c r="BC31" i="11" a="1"/>
  <c r="BC31" i="11" s="1"/>
  <c r="BC31" i="10" s="1"/>
  <c r="BC30" i="11" a="1"/>
  <c r="BC30" i="11" s="1"/>
  <c r="BC30" i="10" s="1"/>
  <c r="BC29" i="11" a="1"/>
  <c r="BC29" i="11" s="1"/>
  <c r="BC29" i="10" s="1"/>
  <c r="BC28" i="11" a="1"/>
  <c r="BC28" i="11" s="1"/>
  <c r="BC28" i="10" s="1"/>
  <c r="BC27" i="11" a="1"/>
  <c r="BC27" i="11" s="1"/>
  <c r="BC27" i="10" s="1"/>
  <c r="BC26" i="11" a="1"/>
  <c r="BC26" i="11" s="1"/>
  <c r="BC26" i="10" s="1"/>
  <c r="BC25" i="11" a="1"/>
  <c r="BC25" i="11" s="1"/>
  <c r="BC25" i="10" s="1"/>
  <c r="BC24" i="11" a="1"/>
  <c r="BC24" i="11" s="1"/>
  <c r="BC24" i="10" s="1"/>
  <c r="BC23" i="11" a="1"/>
  <c r="BC23" i="11" s="1"/>
  <c r="BC23" i="10" s="1"/>
  <c r="BC22" i="11" a="1"/>
  <c r="BC22" i="11" s="1"/>
  <c r="BC22" i="10" s="1"/>
  <c r="BC21" i="11" a="1"/>
  <c r="BC21" i="11" s="1"/>
  <c r="BC21" i="10" s="1"/>
  <c r="BC20" i="11" a="1"/>
  <c r="BC20" i="11" s="1"/>
  <c r="BC20" i="10" s="1"/>
  <c r="BC19" i="11" a="1"/>
  <c r="BC19" i="11" s="1"/>
  <c r="BC19" i="10" s="1"/>
  <c r="BC18" i="11" a="1"/>
  <c r="BC18" i="11" s="1"/>
  <c r="BC18" i="10" s="1"/>
  <c r="BC17" i="11" a="1"/>
  <c r="BC17" i="11" s="1"/>
  <c r="BC17" i="10" s="1"/>
  <c r="BC16" i="11" a="1"/>
  <c r="BC16" i="11" s="1"/>
  <c r="BC16" i="10" s="1"/>
  <c r="BC15" i="11" a="1"/>
  <c r="BC15" i="11" s="1"/>
  <c r="BC15" i="10" s="1"/>
  <c r="BC14" i="11" a="1"/>
  <c r="BC14" i="11" s="1"/>
  <c r="BC14" i="10" s="1"/>
  <c r="BC13" i="11" a="1"/>
  <c r="BC13" i="11" s="1"/>
  <c r="BC13" i="10" s="1"/>
  <c r="BC12" i="11" a="1"/>
  <c r="BC12" i="11" s="1"/>
  <c r="BC12" i="10" s="1"/>
  <c r="BC11" i="11" a="1"/>
  <c r="BC11" i="11" s="1"/>
  <c r="BC11" i="10" s="1"/>
  <c r="BC10" i="11" a="1"/>
  <c r="BC10" i="11" s="1"/>
  <c r="BC10" i="10" s="1"/>
  <c r="BC9" i="11" a="1"/>
  <c r="BC9" i="11" s="1"/>
  <c r="BC9" i="10" s="1"/>
  <c r="BC8" i="11" a="1"/>
  <c r="BC8" i="11" s="1"/>
  <c r="BC8" i="10" s="1"/>
  <c r="BC7" i="11" a="1"/>
  <c r="BC7" i="11" s="1"/>
  <c r="BC7" i="10" s="1"/>
  <c r="BC6" i="11" a="1"/>
  <c r="BC6" i="11" s="1"/>
  <c r="BC6" i="10" s="1"/>
  <c r="BC5" i="11" a="1"/>
  <c r="BC5" i="11" s="1"/>
  <c r="BC5" i="10" s="1"/>
  <c r="BC4" i="11" a="1"/>
  <c r="BC4" i="11" s="1"/>
  <c r="BC4" i="10" s="1"/>
  <c r="BC2" i="11" a="1"/>
  <c r="BC2" i="11" s="1"/>
  <c r="BC2" i="10" s="1"/>
  <c r="BB50" i="11"/>
  <c r="BC3" i="11" a="1"/>
  <c r="BC3" i="11" s="1"/>
  <c r="BC3" i="10" s="1"/>
  <c r="G2" i="11" a="1"/>
  <c r="G2" i="11" s="1"/>
  <c r="G3" i="11" a="1"/>
  <c r="G3" i="11" s="1"/>
  <c r="G49" i="11" a="1"/>
  <c r="G49" i="11" s="1"/>
  <c r="G48" i="11" a="1"/>
  <c r="G48" i="11" s="1"/>
  <c r="G47" i="11" a="1"/>
  <c r="G47" i="11" s="1"/>
  <c r="G46" i="11" a="1"/>
  <c r="G46" i="11" s="1"/>
  <c r="G45" i="11" a="1"/>
  <c r="G45" i="11" s="1"/>
  <c r="G44" i="11" a="1"/>
  <c r="G44" i="11" s="1"/>
  <c r="H44" i="10" s="1"/>
  <c r="G41" i="11" a="1"/>
  <c r="G41" i="11" s="1"/>
  <c r="G40" i="11" a="1"/>
  <c r="G40" i="11" s="1"/>
  <c r="G39" i="11" a="1"/>
  <c r="G39" i="11" s="1"/>
  <c r="G38" i="11" a="1"/>
  <c r="G38" i="11" s="1"/>
  <c r="G37" i="11" a="1"/>
  <c r="G37" i="11" s="1"/>
  <c r="G36" i="11" a="1"/>
  <c r="G36" i="11" s="1"/>
  <c r="G35" i="11" a="1"/>
  <c r="G35" i="11" s="1"/>
  <c r="G34" i="11" a="1"/>
  <c r="G34" i="11" s="1"/>
  <c r="G33" i="11" a="1"/>
  <c r="G33" i="11" s="1"/>
  <c r="G32" i="11" a="1"/>
  <c r="G32" i="11" s="1"/>
  <c r="G31" i="11" a="1"/>
  <c r="G31" i="11" s="1"/>
  <c r="G30" i="11" a="1"/>
  <c r="G30" i="11" s="1"/>
  <c r="G29" i="11" a="1"/>
  <c r="G29" i="11" s="1"/>
  <c r="G28" i="11" a="1"/>
  <c r="G28" i="11" s="1"/>
  <c r="G27" i="11" a="1"/>
  <c r="G27" i="11" s="1"/>
  <c r="G26" i="11" a="1"/>
  <c r="G26" i="11" s="1"/>
  <c r="G25" i="11" a="1"/>
  <c r="G25" i="11" s="1"/>
  <c r="G24" i="11" a="1"/>
  <c r="G24" i="11" s="1"/>
  <c r="G23" i="11" a="1"/>
  <c r="G23" i="11" s="1"/>
  <c r="G22" i="11" a="1"/>
  <c r="G22" i="11" s="1"/>
  <c r="G21" i="11" a="1"/>
  <c r="G21" i="11" s="1"/>
  <c r="G20" i="11" a="1"/>
  <c r="G20" i="11" s="1"/>
  <c r="G19" i="11" a="1"/>
  <c r="G19" i="11" s="1"/>
  <c r="G18" i="11" a="1"/>
  <c r="G18" i="11" s="1"/>
  <c r="G17" i="11" a="1"/>
  <c r="G17" i="11" s="1"/>
  <c r="G16" i="11" a="1"/>
  <c r="G16" i="11" s="1"/>
  <c r="G15" i="11" a="1"/>
  <c r="G15" i="11" s="1"/>
  <c r="G14" i="11" a="1"/>
  <c r="G14" i="11" s="1"/>
  <c r="G13" i="11" a="1"/>
  <c r="G13" i="11" s="1"/>
  <c r="G12" i="11" a="1"/>
  <c r="G12" i="11" s="1"/>
  <c r="G11" i="11" a="1"/>
  <c r="G11" i="11" s="1"/>
  <c r="G10" i="11" a="1"/>
  <c r="G10" i="11" s="1"/>
  <c r="G9" i="11" a="1"/>
  <c r="G9" i="11" s="1"/>
  <c r="G8" i="11" a="1"/>
  <c r="G8" i="11" s="1"/>
  <c r="G7" i="11" a="1"/>
  <c r="G7" i="11" s="1"/>
  <c r="G6" i="11" a="1"/>
  <c r="G6" i="11" s="1"/>
  <c r="G5" i="11" a="1"/>
  <c r="G5" i="11" s="1"/>
  <c r="G4" i="11" a="1"/>
  <c r="G4" i="11" s="1"/>
  <c r="F50" i="11"/>
  <c r="AL3" i="3"/>
  <c r="AM3" i="3" s="1"/>
  <c r="AL28" i="3"/>
  <c r="AM28" i="3" s="1"/>
  <c r="AM4" i="3"/>
  <c r="AL5" i="3"/>
  <c r="AM5" i="3" s="1"/>
  <c r="AL6" i="3"/>
  <c r="AM6" i="3" s="1"/>
  <c r="AL7" i="3"/>
  <c r="AM7" i="3" s="1"/>
  <c r="AL8" i="3"/>
  <c r="AM8" i="3" s="1"/>
  <c r="AL9" i="3"/>
  <c r="AM9" i="3" s="1"/>
  <c r="AL10" i="3"/>
  <c r="AM10" i="3" s="1"/>
  <c r="AL11" i="3"/>
  <c r="AM11" i="3" s="1"/>
  <c r="AL12" i="3"/>
  <c r="AM12" i="3" s="1"/>
  <c r="AL13" i="3"/>
  <c r="AM13" i="3" s="1"/>
  <c r="AL14" i="3"/>
  <c r="AM14" i="3" s="1"/>
  <c r="AL15" i="3"/>
  <c r="AM15" i="3" s="1"/>
  <c r="AL16" i="3"/>
  <c r="AM16" i="3" s="1"/>
  <c r="AL17" i="3"/>
  <c r="AM17" i="3" s="1"/>
  <c r="AL18" i="3"/>
  <c r="AM18" i="3" s="1"/>
  <c r="AL19" i="3"/>
  <c r="AM19" i="3" s="1"/>
  <c r="AL20" i="3"/>
  <c r="AM20" i="3" s="1"/>
  <c r="AL21" i="3"/>
  <c r="AM21" i="3" s="1"/>
  <c r="AL22" i="3"/>
  <c r="AM22" i="3" s="1"/>
  <c r="AL23" i="3"/>
  <c r="AM23" i="3" s="1"/>
  <c r="AL24" i="3"/>
  <c r="AM24" i="3" s="1"/>
  <c r="AL25" i="3"/>
  <c r="AM25" i="3" s="1"/>
  <c r="AL26" i="3"/>
  <c r="AM26" i="3" s="1"/>
  <c r="AL27" i="3"/>
  <c r="AM27" i="3" s="1"/>
  <c r="AL29" i="3"/>
  <c r="AM29" i="3" s="1"/>
  <c r="AL30" i="3"/>
  <c r="AM30" i="3" s="1"/>
  <c r="AL31" i="3"/>
  <c r="AM31" i="3" s="1"/>
  <c r="AL32" i="3"/>
  <c r="AM32" i="3" s="1"/>
  <c r="AL33" i="3"/>
  <c r="AM33" i="3" s="1"/>
  <c r="AL34" i="3"/>
  <c r="AM34" i="3" s="1"/>
  <c r="AL35" i="3"/>
  <c r="AM35" i="3" s="1"/>
  <c r="AL36" i="3"/>
  <c r="AM36" i="3" s="1"/>
  <c r="AL37" i="3"/>
  <c r="AM37" i="3" s="1"/>
  <c r="AL38" i="3"/>
  <c r="AM38" i="3" s="1"/>
  <c r="AM39" i="3"/>
  <c r="AM40" i="3"/>
  <c r="AM41" i="3"/>
  <c r="AL44" i="3"/>
  <c r="AM44" i="3" s="1"/>
  <c r="AL45" i="3"/>
  <c r="AM45" i="3" s="1"/>
  <c r="AL46" i="3"/>
  <c r="AM46" i="3" s="1"/>
  <c r="AL47" i="3"/>
  <c r="AM47" i="3" s="1"/>
  <c r="AL48" i="3"/>
  <c r="AM48" i="3" s="1"/>
  <c r="AM49" i="3"/>
  <c r="AS3" i="3"/>
  <c r="AS6" i="3"/>
  <c r="AR12" i="3"/>
  <c r="AS12" i="3" s="1"/>
  <c r="C51" i="10" l="1"/>
  <c r="AL51" i="3"/>
  <c r="G43" i="10"/>
  <c r="H43" i="10"/>
  <c r="AM2" i="3"/>
  <c r="AW43" i="11" a="1"/>
  <c r="AW43" i="11" s="1"/>
  <c r="AW43" i="10" s="1"/>
  <c r="AK43" i="11" a="1"/>
  <c r="AK43" i="11" s="1"/>
  <c r="AK43" i="10" s="1"/>
  <c r="X2" i="10"/>
  <c r="Y43" i="11" a="1"/>
  <c r="Y43" i="11" s="1"/>
  <c r="Y43" i="10" s="1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41" i="10"/>
  <c r="G42" i="10"/>
  <c r="G44" i="10"/>
  <c r="H46" i="10"/>
  <c r="H47" i="10"/>
  <c r="G3" i="10"/>
  <c r="G2" i="10"/>
  <c r="G45" i="10"/>
  <c r="G46" i="10"/>
  <c r="G47" i="10"/>
  <c r="G48" i="10"/>
  <c r="G49" i="10"/>
  <c r="BC45" i="10"/>
  <c r="BC46" i="10"/>
  <c r="BC47" i="10"/>
  <c r="BC48" i="10"/>
  <c r="BC49" i="10"/>
  <c r="AV45" i="10"/>
  <c r="AV46" i="10"/>
  <c r="AV47" i="10"/>
  <c r="AV48" i="10"/>
  <c r="AV49" i="10"/>
  <c r="AQ45" i="10"/>
  <c r="AQ46" i="10"/>
  <c r="AQ47" i="10"/>
  <c r="AQ48" i="10"/>
  <c r="AQ49" i="10"/>
  <c r="AJ45" i="10"/>
  <c r="AJ46" i="10"/>
  <c r="AJ47" i="10"/>
  <c r="AJ48" i="10"/>
  <c r="AJ49" i="10"/>
  <c r="AE45" i="10"/>
  <c r="AE46" i="10"/>
  <c r="AE47" i="10"/>
  <c r="AE48" i="10"/>
  <c r="AE49" i="10"/>
  <c r="X45" i="10"/>
  <c r="X46" i="10"/>
  <c r="X47" i="10"/>
  <c r="X48" i="10"/>
  <c r="X49" i="10"/>
  <c r="S45" i="10"/>
  <c r="S46" i="10"/>
  <c r="S47" i="10"/>
  <c r="S48" i="10"/>
  <c r="S49" i="10"/>
  <c r="C57" i="10"/>
  <c r="AW3" i="11" a="1"/>
  <c r="AW3" i="11" s="1"/>
  <c r="AW3" i="10" s="1"/>
  <c r="AV3" i="10"/>
  <c r="AK3" i="11" a="1"/>
  <c r="AK3" i="11" s="1"/>
  <c r="AK3" i="10" s="1"/>
  <c r="AJ3" i="10"/>
  <c r="Y6" i="11" a="1"/>
  <c r="Y6" i="11" s="1"/>
  <c r="Y6" i="10" s="1"/>
  <c r="X6" i="10"/>
  <c r="BC50" i="11"/>
  <c r="AW2" i="11" a="1"/>
  <c r="AW2" i="11" s="1"/>
  <c r="AW2" i="10" s="1"/>
  <c r="AV50" i="11"/>
  <c r="AW4" i="11" a="1"/>
  <c r="AW4" i="11" s="1"/>
  <c r="AW4" i="10" s="1"/>
  <c r="AW5" i="11" a="1"/>
  <c r="AW5" i="11" s="1"/>
  <c r="AW5" i="10" s="1"/>
  <c r="AW6" i="11" a="1"/>
  <c r="AW6" i="11" s="1"/>
  <c r="AW6" i="10" s="1"/>
  <c r="AW7" i="11" a="1"/>
  <c r="AW7" i="11" s="1"/>
  <c r="AW7" i="10" s="1"/>
  <c r="AW8" i="11" a="1"/>
  <c r="AW8" i="11" s="1"/>
  <c r="AW8" i="10" s="1"/>
  <c r="AW9" i="11" a="1"/>
  <c r="AW9" i="11" s="1"/>
  <c r="AW9" i="10" s="1"/>
  <c r="AW10" i="11" a="1"/>
  <c r="AW10" i="11" s="1"/>
  <c r="AW10" i="10" s="1"/>
  <c r="AW11" i="11" a="1"/>
  <c r="AW11" i="11" s="1"/>
  <c r="AW11" i="10" s="1"/>
  <c r="AW12" i="11" a="1"/>
  <c r="AW12" i="11" s="1"/>
  <c r="AW12" i="10" s="1"/>
  <c r="AW13" i="11" a="1"/>
  <c r="AW13" i="11" s="1"/>
  <c r="AW13" i="10" s="1"/>
  <c r="AW14" i="11" a="1"/>
  <c r="AW14" i="11" s="1"/>
  <c r="AW14" i="10" s="1"/>
  <c r="AW15" i="11" a="1"/>
  <c r="AW15" i="11" s="1"/>
  <c r="AW15" i="10" s="1"/>
  <c r="AW16" i="11" a="1"/>
  <c r="AW16" i="11" s="1"/>
  <c r="AW16" i="10" s="1"/>
  <c r="AW17" i="11" a="1"/>
  <c r="AW17" i="11" s="1"/>
  <c r="AW17" i="10" s="1"/>
  <c r="AW18" i="11" a="1"/>
  <c r="AW18" i="11" s="1"/>
  <c r="AW18" i="10" s="1"/>
  <c r="AW19" i="11" a="1"/>
  <c r="AW19" i="11" s="1"/>
  <c r="AW19" i="10" s="1"/>
  <c r="AW20" i="11" a="1"/>
  <c r="AW20" i="11" s="1"/>
  <c r="AW20" i="10" s="1"/>
  <c r="AW21" i="11" a="1"/>
  <c r="AW21" i="11" s="1"/>
  <c r="AW21" i="10" s="1"/>
  <c r="AW22" i="11" a="1"/>
  <c r="AW22" i="11" s="1"/>
  <c r="AW22" i="10" s="1"/>
  <c r="AW23" i="11" a="1"/>
  <c r="AW23" i="11" s="1"/>
  <c r="AW23" i="10" s="1"/>
  <c r="AW24" i="11" a="1"/>
  <c r="AW24" i="11" s="1"/>
  <c r="AW24" i="10" s="1"/>
  <c r="AW25" i="11" a="1"/>
  <c r="AW25" i="11" s="1"/>
  <c r="AW25" i="10" s="1"/>
  <c r="AW26" i="11" a="1"/>
  <c r="AW26" i="11" s="1"/>
  <c r="AW26" i="10" s="1"/>
  <c r="AW27" i="11" a="1"/>
  <c r="AW27" i="11" s="1"/>
  <c r="AW27" i="10" s="1"/>
  <c r="AW28" i="11" a="1"/>
  <c r="AW28" i="11" s="1"/>
  <c r="AW28" i="10" s="1"/>
  <c r="AW29" i="11" a="1"/>
  <c r="AW29" i="11" s="1"/>
  <c r="AW29" i="10" s="1"/>
  <c r="AW30" i="11" a="1"/>
  <c r="AW30" i="11" s="1"/>
  <c r="AW30" i="10" s="1"/>
  <c r="AW31" i="11" a="1"/>
  <c r="AW31" i="11" s="1"/>
  <c r="AW31" i="10" s="1"/>
  <c r="AW32" i="11" a="1"/>
  <c r="AW32" i="11" s="1"/>
  <c r="AW32" i="10" s="1"/>
  <c r="AW33" i="11" a="1"/>
  <c r="AW33" i="11" s="1"/>
  <c r="AW33" i="10" s="1"/>
  <c r="AW34" i="11" a="1"/>
  <c r="AW34" i="11" s="1"/>
  <c r="AW34" i="10" s="1"/>
  <c r="AW35" i="11" a="1"/>
  <c r="AW35" i="11" s="1"/>
  <c r="AW35" i="10" s="1"/>
  <c r="AW36" i="11" a="1"/>
  <c r="AW36" i="11" s="1"/>
  <c r="AW36" i="10" s="1"/>
  <c r="AW37" i="11" a="1"/>
  <c r="AW37" i="11" s="1"/>
  <c r="AW37" i="10" s="1"/>
  <c r="AW38" i="11" a="1"/>
  <c r="AW38" i="11" s="1"/>
  <c r="AW38" i="10" s="1"/>
  <c r="AW39" i="11" a="1"/>
  <c r="AW39" i="11" s="1"/>
  <c r="AW39" i="10" s="1"/>
  <c r="AW40" i="11" a="1"/>
  <c r="AW40" i="11" s="1"/>
  <c r="AW40" i="10" s="1"/>
  <c r="AW41" i="11" a="1"/>
  <c r="AW41" i="11" s="1"/>
  <c r="AW41" i="10" s="1"/>
  <c r="AW42" i="11" a="1"/>
  <c r="AW42" i="11" s="1"/>
  <c r="AW42" i="10" s="1"/>
  <c r="AW44" i="11" a="1"/>
  <c r="AW44" i="11" s="1"/>
  <c r="AW44" i="10" s="1"/>
  <c r="AW45" i="11" a="1"/>
  <c r="AW45" i="11" s="1"/>
  <c r="AW45" i="10" s="1"/>
  <c r="AW46" i="11" a="1"/>
  <c r="AW46" i="11" s="1"/>
  <c r="AW46" i="10" s="1"/>
  <c r="AW47" i="11" a="1"/>
  <c r="AW47" i="11" s="1"/>
  <c r="AW47" i="10" s="1"/>
  <c r="AW48" i="11" a="1"/>
  <c r="AW48" i="11" s="1"/>
  <c r="AW48" i="10" s="1"/>
  <c r="AW49" i="11" a="1"/>
  <c r="AW49" i="11" s="1"/>
  <c r="AQ50" i="11"/>
  <c r="AK2" i="11" a="1"/>
  <c r="AK2" i="11" s="1"/>
  <c r="AK2" i="10" s="1"/>
  <c r="AJ50" i="11"/>
  <c r="AK4" i="11" a="1"/>
  <c r="AK4" i="11" s="1"/>
  <c r="AK4" i="10" s="1"/>
  <c r="AK5" i="11" a="1"/>
  <c r="AK5" i="11" s="1"/>
  <c r="AK5" i="10" s="1"/>
  <c r="AK6" i="11" a="1"/>
  <c r="AK6" i="11" s="1"/>
  <c r="AK6" i="10" s="1"/>
  <c r="AK7" i="11" a="1"/>
  <c r="AK7" i="11" s="1"/>
  <c r="AK7" i="10" s="1"/>
  <c r="AK8" i="11" a="1"/>
  <c r="AK8" i="11" s="1"/>
  <c r="AK8" i="10" s="1"/>
  <c r="AK9" i="11" a="1"/>
  <c r="AK9" i="11" s="1"/>
  <c r="AK9" i="10" s="1"/>
  <c r="AK10" i="11" a="1"/>
  <c r="AK10" i="11" s="1"/>
  <c r="AK10" i="10" s="1"/>
  <c r="AK11" i="11" a="1"/>
  <c r="AK11" i="11" s="1"/>
  <c r="AK11" i="10" s="1"/>
  <c r="AK12" i="11" a="1"/>
  <c r="AK12" i="11" s="1"/>
  <c r="AK12" i="10" s="1"/>
  <c r="AK13" i="11" a="1"/>
  <c r="AK13" i="11" s="1"/>
  <c r="AK13" i="10" s="1"/>
  <c r="AK14" i="11" a="1"/>
  <c r="AK14" i="11" s="1"/>
  <c r="AK14" i="10" s="1"/>
  <c r="AK15" i="11" a="1"/>
  <c r="AK15" i="11" s="1"/>
  <c r="AK15" i="10" s="1"/>
  <c r="AK16" i="11" a="1"/>
  <c r="AK16" i="11" s="1"/>
  <c r="AK16" i="10" s="1"/>
  <c r="AK17" i="11" a="1"/>
  <c r="AK17" i="11" s="1"/>
  <c r="AK17" i="10" s="1"/>
  <c r="AK18" i="11" a="1"/>
  <c r="AK18" i="11" s="1"/>
  <c r="AK18" i="10" s="1"/>
  <c r="AK19" i="11" a="1"/>
  <c r="AK19" i="11" s="1"/>
  <c r="AK19" i="10" s="1"/>
  <c r="AK20" i="11" a="1"/>
  <c r="AK20" i="11" s="1"/>
  <c r="AK20" i="10" s="1"/>
  <c r="AK21" i="11" a="1"/>
  <c r="AK21" i="11" s="1"/>
  <c r="AK21" i="10" s="1"/>
  <c r="AK22" i="11" a="1"/>
  <c r="AK22" i="11" s="1"/>
  <c r="AK22" i="10" s="1"/>
  <c r="AK23" i="11" a="1"/>
  <c r="AK23" i="11" s="1"/>
  <c r="AK23" i="10" s="1"/>
  <c r="AK24" i="11" a="1"/>
  <c r="AK24" i="11" s="1"/>
  <c r="AK24" i="10" s="1"/>
  <c r="AK25" i="11" a="1"/>
  <c r="AK25" i="11" s="1"/>
  <c r="AK25" i="10" s="1"/>
  <c r="AK26" i="11" a="1"/>
  <c r="AK26" i="11" s="1"/>
  <c r="AK26" i="10" s="1"/>
  <c r="AK27" i="11" a="1"/>
  <c r="AK27" i="11" s="1"/>
  <c r="AK27" i="10" s="1"/>
  <c r="AK28" i="11" a="1"/>
  <c r="AK28" i="11" s="1"/>
  <c r="AK28" i="10" s="1"/>
  <c r="AK29" i="11" a="1"/>
  <c r="AK29" i="11" s="1"/>
  <c r="AK29" i="10" s="1"/>
  <c r="AK30" i="11" a="1"/>
  <c r="AK30" i="11" s="1"/>
  <c r="AK30" i="10" s="1"/>
  <c r="AK31" i="11" a="1"/>
  <c r="AK31" i="11" s="1"/>
  <c r="AK31" i="10" s="1"/>
  <c r="AK32" i="11" a="1"/>
  <c r="AK32" i="11" s="1"/>
  <c r="AK32" i="10" s="1"/>
  <c r="AK33" i="11" a="1"/>
  <c r="AK33" i="11" s="1"/>
  <c r="AK33" i="10" s="1"/>
  <c r="AK34" i="11" a="1"/>
  <c r="AK34" i="11" s="1"/>
  <c r="AK34" i="10" s="1"/>
  <c r="AK35" i="11" a="1"/>
  <c r="AK35" i="11" s="1"/>
  <c r="AK35" i="10" s="1"/>
  <c r="AK36" i="11" a="1"/>
  <c r="AK36" i="11" s="1"/>
  <c r="AK36" i="10" s="1"/>
  <c r="AK37" i="11" a="1"/>
  <c r="AK37" i="11" s="1"/>
  <c r="AK37" i="10" s="1"/>
  <c r="AK38" i="11" a="1"/>
  <c r="AK38" i="11" s="1"/>
  <c r="AK38" i="10" s="1"/>
  <c r="AK39" i="11" a="1"/>
  <c r="AK39" i="11" s="1"/>
  <c r="AK39" i="10" s="1"/>
  <c r="AK40" i="11" a="1"/>
  <c r="AK40" i="11" s="1"/>
  <c r="AK40" i="10" s="1"/>
  <c r="AK41" i="11" a="1"/>
  <c r="AK41" i="11" s="1"/>
  <c r="AK41" i="10" s="1"/>
  <c r="AK42" i="11" a="1"/>
  <c r="AK42" i="11" s="1"/>
  <c r="AK42" i="10" s="1"/>
  <c r="AK44" i="11" a="1"/>
  <c r="AK44" i="11" s="1"/>
  <c r="AK44" i="10" s="1"/>
  <c r="AK45" i="11" a="1"/>
  <c r="AK45" i="11" s="1"/>
  <c r="AK45" i="10" s="1"/>
  <c r="AK46" i="11" a="1"/>
  <c r="AK46" i="11" s="1"/>
  <c r="AK46" i="10" s="1"/>
  <c r="AK47" i="11" a="1"/>
  <c r="AK47" i="11" s="1"/>
  <c r="AK47" i="10" s="1"/>
  <c r="AK48" i="11" a="1"/>
  <c r="AK48" i="11" s="1"/>
  <c r="AK48" i="10" s="1"/>
  <c r="AK49" i="11" a="1"/>
  <c r="AK49" i="11" s="1"/>
  <c r="AE50" i="11"/>
  <c r="Y7" i="11" a="1"/>
  <c r="Y7" i="11" s="1"/>
  <c r="Y7" i="10" s="1"/>
  <c r="Y8" i="11" a="1"/>
  <c r="Y8" i="11" s="1"/>
  <c r="Y8" i="10" s="1"/>
  <c r="Y9" i="11" a="1"/>
  <c r="Y9" i="11" s="1"/>
  <c r="Y9" i="10" s="1"/>
  <c r="Y10" i="11" a="1"/>
  <c r="Y10" i="11" s="1"/>
  <c r="Y10" i="10" s="1"/>
  <c r="Y11" i="11" a="1"/>
  <c r="Y11" i="11" s="1"/>
  <c r="Y11" i="10" s="1"/>
  <c r="Y12" i="11" a="1"/>
  <c r="Y12" i="11" s="1"/>
  <c r="Y12" i="10" s="1"/>
  <c r="Y13" i="11" a="1"/>
  <c r="Y13" i="11" s="1"/>
  <c r="Y13" i="10" s="1"/>
  <c r="Y14" i="11" a="1"/>
  <c r="Y14" i="11" s="1"/>
  <c r="Y14" i="10" s="1"/>
  <c r="Y15" i="11" a="1"/>
  <c r="Y15" i="11" s="1"/>
  <c r="Y15" i="10" s="1"/>
  <c r="Y16" i="11" a="1"/>
  <c r="Y16" i="11" s="1"/>
  <c r="Y16" i="10" s="1"/>
  <c r="Y17" i="11" a="1"/>
  <c r="Y17" i="11" s="1"/>
  <c r="Y17" i="10" s="1"/>
  <c r="Y18" i="11" a="1"/>
  <c r="Y18" i="11" s="1"/>
  <c r="Y18" i="10" s="1"/>
  <c r="Y19" i="11" a="1"/>
  <c r="Y19" i="11" s="1"/>
  <c r="Y19" i="10" s="1"/>
  <c r="Y20" i="11" a="1"/>
  <c r="Y20" i="11" s="1"/>
  <c r="Y20" i="10" s="1"/>
  <c r="Y21" i="11" a="1"/>
  <c r="Y21" i="11" s="1"/>
  <c r="Y21" i="10" s="1"/>
  <c r="Y22" i="11" a="1"/>
  <c r="Y22" i="11" s="1"/>
  <c r="Y22" i="10" s="1"/>
  <c r="Y23" i="11" a="1"/>
  <c r="Y23" i="11" s="1"/>
  <c r="Y23" i="10" s="1"/>
  <c r="Y24" i="11" a="1"/>
  <c r="Y24" i="11" s="1"/>
  <c r="Y24" i="10" s="1"/>
  <c r="Y25" i="11" a="1"/>
  <c r="Y25" i="11" s="1"/>
  <c r="Y25" i="10" s="1"/>
  <c r="Y26" i="11" a="1"/>
  <c r="Y26" i="11" s="1"/>
  <c r="Y26" i="10" s="1"/>
  <c r="Y27" i="11" a="1"/>
  <c r="Y27" i="11" s="1"/>
  <c r="Y27" i="10" s="1"/>
  <c r="Y28" i="11" a="1"/>
  <c r="Y28" i="11" s="1"/>
  <c r="Y28" i="10" s="1"/>
  <c r="Y29" i="11" a="1"/>
  <c r="Y29" i="11" s="1"/>
  <c r="Y29" i="10" s="1"/>
  <c r="Y30" i="11" a="1"/>
  <c r="Y30" i="11" s="1"/>
  <c r="Y30" i="10" s="1"/>
  <c r="Y31" i="11" a="1"/>
  <c r="Y31" i="11" s="1"/>
  <c r="Y31" i="10" s="1"/>
  <c r="Y32" i="11" a="1"/>
  <c r="Y32" i="11" s="1"/>
  <c r="Y32" i="10" s="1"/>
  <c r="Y33" i="11" a="1"/>
  <c r="Y33" i="11" s="1"/>
  <c r="Y33" i="10" s="1"/>
  <c r="Y34" i="11" a="1"/>
  <c r="Y34" i="11" s="1"/>
  <c r="Y34" i="10" s="1"/>
  <c r="Y35" i="11" a="1"/>
  <c r="Y35" i="11" s="1"/>
  <c r="Y35" i="10" s="1"/>
  <c r="Y36" i="11" a="1"/>
  <c r="Y36" i="11" s="1"/>
  <c r="Y36" i="10" s="1"/>
  <c r="Y37" i="11" a="1"/>
  <c r="Y37" i="11" s="1"/>
  <c r="Y37" i="10" s="1"/>
  <c r="Y38" i="11" a="1"/>
  <c r="Y38" i="11" s="1"/>
  <c r="Y38" i="10" s="1"/>
  <c r="Y39" i="11" a="1"/>
  <c r="Y39" i="11" s="1"/>
  <c r="Y39" i="10" s="1"/>
  <c r="Y40" i="11" a="1"/>
  <c r="Y40" i="11" s="1"/>
  <c r="Y40" i="10" s="1"/>
  <c r="Y41" i="11" a="1"/>
  <c r="Y41" i="11" s="1"/>
  <c r="Y41" i="10" s="1"/>
  <c r="Y42" i="11" a="1"/>
  <c r="Y42" i="11" s="1"/>
  <c r="Y42" i="10" s="1"/>
  <c r="Y44" i="11" a="1"/>
  <c r="Y44" i="11" s="1"/>
  <c r="Y44" i="10" s="1"/>
  <c r="Y45" i="11" a="1"/>
  <c r="Y45" i="11" s="1"/>
  <c r="Y45" i="10" s="1"/>
  <c r="Y46" i="11" a="1"/>
  <c r="Y46" i="11" s="1"/>
  <c r="Y46" i="10" s="1"/>
  <c r="Y47" i="11" a="1"/>
  <c r="Y47" i="11" s="1"/>
  <c r="Y47" i="10" s="1"/>
  <c r="Y48" i="11" a="1"/>
  <c r="Y48" i="11" s="1"/>
  <c r="Y48" i="10" s="1"/>
  <c r="Y49" i="11" a="1"/>
  <c r="Y49" i="11" s="1"/>
  <c r="Y49" i="10" s="1"/>
  <c r="Y4" i="11" a="1"/>
  <c r="Y4" i="11" s="1"/>
  <c r="Y4" i="10" s="1"/>
  <c r="Y3" i="11" a="1"/>
  <c r="Y3" i="11" s="1"/>
  <c r="Y3" i="10" s="1"/>
  <c r="Y5" i="11" a="1"/>
  <c r="Y5" i="11" s="1"/>
  <c r="Y5" i="10" s="1"/>
  <c r="Y2" i="11" a="1"/>
  <c r="Y2" i="11" s="1"/>
  <c r="Y2" i="10" s="1"/>
  <c r="X50" i="11"/>
  <c r="S50" i="11"/>
  <c r="G50" i="11"/>
  <c r="AM51" i="3"/>
  <c r="AR7" i="3"/>
  <c r="AS7" i="3" s="1"/>
  <c r="AX43" i="11" l="1" a="1"/>
  <c r="AX43" i="11" s="1"/>
  <c r="AX43" i="10" s="1"/>
  <c r="AL43" i="11" a="1"/>
  <c r="AL43" i="11" s="1"/>
  <c r="AL43" i="10" s="1"/>
  <c r="Z43" i="11" a="1"/>
  <c r="Z43" i="11" s="1"/>
  <c r="Z43" i="10" s="1"/>
  <c r="I43" i="10"/>
  <c r="H2" i="10"/>
  <c r="I2" i="11" a="1"/>
  <c r="I2" i="11" s="1"/>
  <c r="H50" i="11"/>
  <c r="H3" i="10"/>
  <c r="H45" i="10"/>
  <c r="H42" i="10"/>
  <c r="H41" i="10"/>
  <c r="H40" i="10"/>
  <c r="H39" i="10"/>
  <c r="H38" i="10"/>
  <c r="H37" i="10"/>
  <c r="H36" i="10"/>
  <c r="H35" i="10"/>
  <c r="H34" i="10"/>
  <c r="H33" i="10"/>
  <c r="H32" i="10"/>
  <c r="H31" i="10"/>
  <c r="H30" i="10"/>
  <c r="H29" i="10"/>
  <c r="H28" i="10"/>
  <c r="H27" i="10"/>
  <c r="H26" i="10"/>
  <c r="H25" i="10"/>
  <c r="H24" i="10"/>
  <c r="H23" i="10"/>
  <c r="H22" i="10"/>
  <c r="H21" i="10"/>
  <c r="H20" i="10"/>
  <c r="H19" i="10"/>
  <c r="H18" i="10"/>
  <c r="H17" i="10"/>
  <c r="H16" i="10"/>
  <c r="H15" i="10"/>
  <c r="H14" i="10"/>
  <c r="H13" i="10"/>
  <c r="H12" i="10"/>
  <c r="H11" i="10"/>
  <c r="H10" i="10"/>
  <c r="H9" i="10"/>
  <c r="H8" i="10"/>
  <c r="H7" i="10"/>
  <c r="H6" i="10"/>
  <c r="H5" i="10"/>
  <c r="H4" i="10"/>
  <c r="AL49" i="11" a="1"/>
  <c r="AL49" i="11" s="1"/>
  <c r="AK49" i="10"/>
  <c r="AX49" i="11" a="1"/>
  <c r="AX49" i="11" s="1"/>
  <c r="AW49" i="10"/>
  <c r="E50" i="10"/>
  <c r="E57" i="10" s="1"/>
  <c r="Z2" i="11" a="1"/>
  <c r="Z2" i="11" s="1"/>
  <c r="Z2" i="10" s="1"/>
  <c r="Y50" i="11"/>
  <c r="Z6" i="11" a="1"/>
  <c r="Z6" i="11" s="1"/>
  <c r="Z6" i="10" s="1"/>
  <c r="Z5" i="11" a="1"/>
  <c r="Z5" i="11" s="1"/>
  <c r="Z5" i="10" s="1"/>
  <c r="Z3" i="11" a="1"/>
  <c r="Z3" i="11" s="1"/>
  <c r="Z3" i="10" s="1"/>
  <c r="Z4" i="11" a="1"/>
  <c r="Z4" i="11" s="1"/>
  <c r="Z4" i="10" s="1"/>
  <c r="Z49" i="11" a="1"/>
  <c r="Z49" i="11" s="1"/>
  <c r="Z48" i="11" a="1"/>
  <c r="Z48" i="11" s="1"/>
  <c r="Z47" i="11" a="1"/>
  <c r="Z47" i="11" s="1"/>
  <c r="Z46" i="11" a="1"/>
  <c r="Z46" i="11" s="1"/>
  <c r="Z45" i="11" a="1"/>
  <c r="Z45" i="11" s="1"/>
  <c r="Z44" i="11" a="1"/>
  <c r="Z44" i="11" s="1"/>
  <c r="Z44" i="10" s="1"/>
  <c r="Z42" i="11" a="1"/>
  <c r="Z42" i="11" s="1"/>
  <c r="Z42" i="10" s="1"/>
  <c r="Z41" i="11" a="1"/>
  <c r="Z41" i="11" s="1"/>
  <c r="Z41" i="10" s="1"/>
  <c r="Z40" i="11" a="1"/>
  <c r="Z40" i="11" s="1"/>
  <c r="Z40" i="10" s="1"/>
  <c r="Z39" i="11" a="1"/>
  <c r="Z39" i="11" s="1"/>
  <c r="Z39" i="10" s="1"/>
  <c r="Z38" i="11" a="1"/>
  <c r="Z38" i="11" s="1"/>
  <c r="Z38" i="10" s="1"/>
  <c r="Z37" i="11" a="1"/>
  <c r="Z37" i="11" s="1"/>
  <c r="Z37" i="10" s="1"/>
  <c r="Z36" i="11" a="1"/>
  <c r="Z36" i="11" s="1"/>
  <c r="Z36" i="10" s="1"/>
  <c r="Z35" i="11" a="1"/>
  <c r="Z35" i="11" s="1"/>
  <c r="Z35" i="10" s="1"/>
  <c r="Z34" i="11" a="1"/>
  <c r="Z34" i="11" s="1"/>
  <c r="Z34" i="10" s="1"/>
  <c r="Z33" i="11" a="1"/>
  <c r="Z33" i="11" s="1"/>
  <c r="Z33" i="10" s="1"/>
  <c r="Z32" i="11" a="1"/>
  <c r="Z32" i="11" s="1"/>
  <c r="Z32" i="10" s="1"/>
  <c r="Z31" i="11" a="1"/>
  <c r="Z31" i="11" s="1"/>
  <c r="Z31" i="10" s="1"/>
  <c r="Z30" i="11" a="1"/>
  <c r="Z30" i="11" s="1"/>
  <c r="Z30" i="10" s="1"/>
  <c r="Z29" i="11" a="1"/>
  <c r="Z29" i="11" s="1"/>
  <c r="Z29" i="10" s="1"/>
  <c r="Z28" i="11" a="1"/>
  <c r="Z28" i="11" s="1"/>
  <c r="Z28" i="10" s="1"/>
  <c r="Z27" i="11" a="1"/>
  <c r="Z27" i="11" s="1"/>
  <c r="Z27" i="10" s="1"/>
  <c r="Z26" i="11" a="1"/>
  <c r="Z26" i="11" s="1"/>
  <c r="Z26" i="10" s="1"/>
  <c r="Z25" i="11" a="1"/>
  <c r="Z25" i="11" s="1"/>
  <c r="Z25" i="10" s="1"/>
  <c r="Z24" i="11" a="1"/>
  <c r="Z24" i="11" s="1"/>
  <c r="Z24" i="10" s="1"/>
  <c r="Z23" i="11" a="1"/>
  <c r="Z23" i="11" s="1"/>
  <c r="Z23" i="10" s="1"/>
  <c r="Z22" i="11" a="1"/>
  <c r="Z22" i="11" s="1"/>
  <c r="Z22" i="10" s="1"/>
  <c r="Z21" i="11" a="1"/>
  <c r="Z21" i="11" s="1"/>
  <c r="Z21" i="10" s="1"/>
  <c r="Z20" i="11" a="1"/>
  <c r="Z20" i="11" s="1"/>
  <c r="Z20" i="10" s="1"/>
  <c r="Z19" i="11" a="1"/>
  <c r="Z19" i="11" s="1"/>
  <c r="Z19" i="10" s="1"/>
  <c r="Z18" i="11" a="1"/>
  <c r="Z18" i="11" s="1"/>
  <c r="Z18" i="10" s="1"/>
  <c r="Z17" i="11" a="1"/>
  <c r="Z17" i="11" s="1"/>
  <c r="Z17" i="10" s="1"/>
  <c r="Z16" i="11" a="1"/>
  <c r="Z16" i="11" s="1"/>
  <c r="Z16" i="10" s="1"/>
  <c r="Z15" i="11" a="1"/>
  <c r="Z15" i="11" s="1"/>
  <c r="Z15" i="10" s="1"/>
  <c r="Z14" i="11" a="1"/>
  <c r="Z14" i="11" s="1"/>
  <c r="Z14" i="10" s="1"/>
  <c r="Z13" i="11" a="1"/>
  <c r="Z13" i="11" s="1"/>
  <c r="Z13" i="10" s="1"/>
  <c r="Z12" i="11" a="1"/>
  <c r="Z12" i="11" s="1"/>
  <c r="Z12" i="10" s="1"/>
  <c r="Z11" i="11" a="1"/>
  <c r="Z11" i="11" s="1"/>
  <c r="Z11" i="10" s="1"/>
  <c r="Z10" i="11" a="1"/>
  <c r="Z10" i="11" s="1"/>
  <c r="Z10" i="10" s="1"/>
  <c r="Z9" i="11" a="1"/>
  <c r="Z9" i="11" s="1"/>
  <c r="Z9" i="10" s="1"/>
  <c r="Z8" i="11" a="1"/>
  <c r="Z8" i="11" s="1"/>
  <c r="Z8" i="10" s="1"/>
  <c r="Z7" i="11" a="1"/>
  <c r="Z7" i="11" s="1"/>
  <c r="Z7" i="10" s="1"/>
  <c r="AL48" i="11" a="1"/>
  <c r="AL48" i="11" s="1"/>
  <c r="AL47" i="11" a="1"/>
  <c r="AL47" i="11" s="1"/>
  <c r="AL46" i="11" a="1"/>
  <c r="AL46" i="11" s="1"/>
  <c r="AL45" i="11" a="1"/>
  <c r="AL45" i="11" s="1"/>
  <c r="AL44" i="11" a="1"/>
  <c r="AL44" i="11" s="1"/>
  <c r="AL44" i="10" s="1"/>
  <c r="AL42" i="11" a="1"/>
  <c r="AL42" i="11" s="1"/>
  <c r="AL42" i="10" s="1"/>
  <c r="AL41" i="11" a="1"/>
  <c r="AL41" i="11" s="1"/>
  <c r="AL41" i="10" s="1"/>
  <c r="AL40" i="11" a="1"/>
  <c r="AL40" i="11" s="1"/>
  <c r="AL40" i="10" s="1"/>
  <c r="AL39" i="11" a="1"/>
  <c r="AL39" i="11" s="1"/>
  <c r="AL39" i="10" s="1"/>
  <c r="AL38" i="11" a="1"/>
  <c r="AL38" i="11" s="1"/>
  <c r="AL38" i="10" s="1"/>
  <c r="AL37" i="11" a="1"/>
  <c r="AL37" i="11" s="1"/>
  <c r="AL37" i="10" s="1"/>
  <c r="AL36" i="11" a="1"/>
  <c r="AL36" i="11" s="1"/>
  <c r="AL36" i="10" s="1"/>
  <c r="AL35" i="11" a="1"/>
  <c r="AL35" i="11" s="1"/>
  <c r="AL35" i="10" s="1"/>
  <c r="AL34" i="11" a="1"/>
  <c r="AL34" i="11" s="1"/>
  <c r="AL34" i="10" s="1"/>
  <c r="AL33" i="11" a="1"/>
  <c r="AL33" i="11" s="1"/>
  <c r="AL33" i="10" s="1"/>
  <c r="AL32" i="11" a="1"/>
  <c r="AL32" i="11" s="1"/>
  <c r="AL32" i="10" s="1"/>
  <c r="AL31" i="11" a="1"/>
  <c r="AL31" i="11" s="1"/>
  <c r="AL31" i="10" s="1"/>
  <c r="AL30" i="11" a="1"/>
  <c r="AL30" i="11" s="1"/>
  <c r="AL30" i="10" s="1"/>
  <c r="AL29" i="11" a="1"/>
  <c r="AL29" i="11" s="1"/>
  <c r="AL29" i="10" s="1"/>
  <c r="AL28" i="11" a="1"/>
  <c r="AL28" i="11" s="1"/>
  <c r="AL28" i="10" s="1"/>
  <c r="AL27" i="11" a="1"/>
  <c r="AL27" i="11" s="1"/>
  <c r="AL27" i="10" s="1"/>
  <c r="AL26" i="11" a="1"/>
  <c r="AL26" i="11" s="1"/>
  <c r="AL26" i="10" s="1"/>
  <c r="AL25" i="11" a="1"/>
  <c r="AL25" i="11" s="1"/>
  <c r="AL25" i="10" s="1"/>
  <c r="AL24" i="11" a="1"/>
  <c r="AL24" i="11" s="1"/>
  <c r="AL24" i="10" s="1"/>
  <c r="AL23" i="11" a="1"/>
  <c r="AL23" i="11" s="1"/>
  <c r="AL23" i="10" s="1"/>
  <c r="AL22" i="11" a="1"/>
  <c r="AL22" i="11" s="1"/>
  <c r="AL22" i="10" s="1"/>
  <c r="AL21" i="11" a="1"/>
  <c r="AL21" i="11" s="1"/>
  <c r="AL21" i="10" s="1"/>
  <c r="AL20" i="11" a="1"/>
  <c r="AL20" i="11" s="1"/>
  <c r="AL20" i="10" s="1"/>
  <c r="AL19" i="11" a="1"/>
  <c r="AL19" i="11" s="1"/>
  <c r="AL19" i="10" s="1"/>
  <c r="AL18" i="11" a="1"/>
  <c r="AL18" i="11" s="1"/>
  <c r="AL18" i="10" s="1"/>
  <c r="AL17" i="11" a="1"/>
  <c r="AL17" i="11" s="1"/>
  <c r="AL17" i="10" s="1"/>
  <c r="AL16" i="11" a="1"/>
  <c r="AL16" i="11" s="1"/>
  <c r="AL16" i="10" s="1"/>
  <c r="AL15" i="11" a="1"/>
  <c r="AL15" i="11" s="1"/>
  <c r="AL15" i="10" s="1"/>
  <c r="AL14" i="11" a="1"/>
  <c r="AL14" i="11" s="1"/>
  <c r="AL14" i="10" s="1"/>
  <c r="AL13" i="11" a="1"/>
  <c r="AL13" i="11" s="1"/>
  <c r="AL13" i="10" s="1"/>
  <c r="AL12" i="11" a="1"/>
  <c r="AL12" i="11" s="1"/>
  <c r="AL12" i="10" s="1"/>
  <c r="AL11" i="11" a="1"/>
  <c r="AL11" i="11" s="1"/>
  <c r="AL11" i="10" s="1"/>
  <c r="AL10" i="11" a="1"/>
  <c r="AL10" i="11" s="1"/>
  <c r="AL10" i="10" s="1"/>
  <c r="AL9" i="11" a="1"/>
  <c r="AL9" i="11" s="1"/>
  <c r="AL9" i="10" s="1"/>
  <c r="AL8" i="11" a="1"/>
  <c r="AL8" i="11" s="1"/>
  <c r="AL8" i="10" s="1"/>
  <c r="AL7" i="11" a="1"/>
  <c r="AL7" i="11" s="1"/>
  <c r="AL7" i="10" s="1"/>
  <c r="AL6" i="11" a="1"/>
  <c r="AL6" i="11" s="1"/>
  <c r="AL6" i="10" s="1"/>
  <c r="AL5" i="11" a="1"/>
  <c r="AL5" i="11" s="1"/>
  <c r="AL5" i="10" s="1"/>
  <c r="AL4" i="11" a="1"/>
  <c r="AL4" i="11" s="1"/>
  <c r="AL4" i="10" s="1"/>
  <c r="AL2" i="11" a="1"/>
  <c r="AL2" i="11" s="1"/>
  <c r="AL2" i="10" s="1"/>
  <c r="AK50" i="11"/>
  <c r="AL3" i="11" a="1"/>
  <c r="AL3" i="11" s="1"/>
  <c r="AL3" i="10" s="1"/>
  <c r="AX48" i="11" a="1"/>
  <c r="AX48" i="11" s="1"/>
  <c r="AX47" i="11" a="1"/>
  <c r="AX47" i="11" s="1"/>
  <c r="AX46" i="11" a="1"/>
  <c r="AX46" i="11" s="1"/>
  <c r="AX45" i="11" a="1"/>
  <c r="AX45" i="11" s="1"/>
  <c r="AX44" i="11" a="1"/>
  <c r="AX44" i="11" s="1"/>
  <c r="AX44" i="10" s="1"/>
  <c r="AX42" i="11" a="1"/>
  <c r="AX42" i="11" s="1"/>
  <c r="AX42" i="10" s="1"/>
  <c r="AX41" i="11" a="1"/>
  <c r="AX41" i="11" s="1"/>
  <c r="AX41" i="10" s="1"/>
  <c r="AX40" i="11" a="1"/>
  <c r="AX40" i="11" s="1"/>
  <c r="AX40" i="10" s="1"/>
  <c r="AX39" i="11" a="1"/>
  <c r="AX39" i="11" s="1"/>
  <c r="AX39" i="10" s="1"/>
  <c r="AX38" i="11" a="1"/>
  <c r="AX38" i="11" s="1"/>
  <c r="AX38" i="10" s="1"/>
  <c r="AX37" i="11" a="1"/>
  <c r="AX37" i="11" s="1"/>
  <c r="AX37" i="10" s="1"/>
  <c r="AX36" i="11" a="1"/>
  <c r="AX36" i="11" s="1"/>
  <c r="AX36" i="10" s="1"/>
  <c r="AX35" i="11" a="1"/>
  <c r="AX35" i="11" s="1"/>
  <c r="AX35" i="10" s="1"/>
  <c r="AX34" i="11" a="1"/>
  <c r="AX34" i="11" s="1"/>
  <c r="AX34" i="10" s="1"/>
  <c r="AX33" i="11" a="1"/>
  <c r="AX33" i="11" s="1"/>
  <c r="AX33" i="10" s="1"/>
  <c r="AX32" i="11" a="1"/>
  <c r="AX32" i="11" s="1"/>
  <c r="AX32" i="10" s="1"/>
  <c r="AX31" i="11" a="1"/>
  <c r="AX31" i="11" s="1"/>
  <c r="AX31" i="10" s="1"/>
  <c r="AX30" i="11" a="1"/>
  <c r="AX30" i="11" s="1"/>
  <c r="AX30" i="10" s="1"/>
  <c r="AX29" i="11" a="1"/>
  <c r="AX29" i="11" s="1"/>
  <c r="AX29" i="10" s="1"/>
  <c r="AX28" i="11" a="1"/>
  <c r="AX28" i="11" s="1"/>
  <c r="AX28" i="10" s="1"/>
  <c r="AX27" i="11" a="1"/>
  <c r="AX27" i="11" s="1"/>
  <c r="AX27" i="10" s="1"/>
  <c r="AX26" i="11" a="1"/>
  <c r="AX26" i="11" s="1"/>
  <c r="AX26" i="10" s="1"/>
  <c r="AX25" i="11" a="1"/>
  <c r="AX25" i="11" s="1"/>
  <c r="AX25" i="10" s="1"/>
  <c r="AX24" i="11" a="1"/>
  <c r="AX24" i="11" s="1"/>
  <c r="AX24" i="10" s="1"/>
  <c r="AX23" i="11" a="1"/>
  <c r="AX23" i="11" s="1"/>
  <c r="AX23" i="10" s="1"/>
  <c r="AX22" i="11" a="1"/>
  <c r="AX22" i="11" s="1"/>
  <c r="AX22" i="10" s="1"/>
  <c r="AX21" i="11" a="1"/>
  <c r="AX21" i="11" s="1"/>
  <c r="AX21" i="10" s="1"/>
  <c r="AX20" i="11" a="1"/>
  <c r="AX20" i="11" s="1"/>
  <c r="AX20" i="10" s="1"/>
  <c r="AX19" i="11" a="1"/>
  <c r="AX19" i="11" s="1"/>
  <c r="AX19" i="10" s="1"/>
  <c r="AX18" i="11" a="1"/>
  <c r="AX18" i="11" s="1"/>
  <c r="AX18" i="10" s="1"/>
  <c r="AX17" i="11" a="1"/>
  <c r="AX17" i="11" s="1"/>
  <c r="AX17" i="10" s="1"/>
  <c r="AX16" i="11" a="1"/>
  <c r="AX16" i="11" s="1"/>
  <c r="AX16" i="10" s="1"/>
  <c r="AX15" i="11" a="1"/>
  <c r="AX15" i="11" s="1"/>
  <c r="AX15" i="10" s="1"/>
  <c r="AX14" i="11" a="1"/>
  <c r="AX14" i="11" s="1"/>
  <c r="AX14" i="10" s="1"/>
  <c r="AX13" i="11" a="1"/>
  <c r="AX13" i="11" s="1"/>
  <c r="AX13" i="10" s="1"/>
  <c r="AX12" i="11" a="1"/>
  <c r="AX12" i="11" s="1"/>
  <c r="AX12" i="10" s="1"/>
  <c r="AX11" i="11" a="1"/>
  <c r="AX11" i="11" s="1"/>
  <c r="AX11" i="10" s="1"/>
  <c r="AX10" i="11" a="1"/>
  <c r="AX10" i="11" s="1"/>
  <c r="AX10" i="10" s="1"/>
  <c r="AX9" i="11" a="1"/>
  <c r="AX9" i="11" s="1"/>
  <c r="AX9" i="10" s="1"/>
  <c r="AX8" i="11" a="1"/>
  <c r="AX8" i="11" s="1"/>
  <c r="AX8" i="10" s="1"/>
  <c r="AX7" i="11" a="1"/>
  <c r="AX7" i="11" s="1"/>
  <c r="AX7" i="10" s="1"/>
  <c r="AX6" i="11" a="1"/>
  <c r="AX6" i="11" s="1"/>
  <c r="AX6" i="10" s="1"/>
  <c r="AX5" i="11" a="1"/>
  <c r="AX5" i="11" s="1"/>
  <c r="AX5" i="10" s="1"/>
  <c r="AX4" i="11" a="1"/>
  <c r="AX4" i="11" s="1"/>
  <c r="AX4" i="10" s="1"/>
  <c r="AX2" i="11" a="1"/>
  <c r="AX2" i="11" s="1"/>
  <c r="AX2" i="10" s="1"/>
  <c r="AW50" i="11"/>
  <c r="AX3" i="11" a="1"/>
  <c r="AX3" i="11" s="1"/>
  <c r="AX3" i="10" s="1"/>
  <c r="I50" i="11" l="1"/>
  <c r="I4" i="10"/>
  <c r="J4" i="11" a="1"/>
  <c r="J4" i="11" s="1"/>
  <c r="I5" i="10"/>
  <c r="J5" i="11" a="1"/>
  <c r="J5" i="11" s="1"/>
  <c r="I6" i="10"/>
  <c r="J6" i="11" a="1"/>
  <c r="J6" i="11" s="1"/>
  <c r="I7" i="10"/>
  <c r="J7" i="11" a="1"/>
  <c r="J7" i="11" s="1"/>
  <c r="I8" i="10"/>
  <c r="J8" i="11" a="1"/>
  <c r="J8" i="11" s="1"/>
  <c r="I9" i="10"/>
  <c r="J9" i="11" a="1"/>
  <c r="J9" i="11" s="1"/>
  <c r="I10" i="10"/>
  <c r="J10" i="11" a="1"/>
  <c r="J10" i="11" s="1"/>
  <c r="I11" i="10"/>
  <c r="J11" i="11" a="1"/>
  <c r="J11" i="11" s="1"/>
  <c r="I12" i="10"/>
  <c r="J12" i="11" a="1"/>
  <c r="J12" i="11" s="1"/>
  <c r="I13" i="10"/>
  <c r="J13" i="11" a="1"/>
  <c r="J13" i="11" s="1"/>
  <c r="I14" i="10"/>
  <c r="J14" i="11" a="1"/>
  <c r="J14" i="11" s="1"/>
  <c r="I15" i="10"/>
  <c r="J15" i="11" a="1"/>
  <c r="J15" i="11" s="1"/>
  <c r="I16" i="10"/>
  <c r="J16" i="11" a="1"/>
  <c r="J16" i="11" s="1"/>
  <c r="I17" i="10"/>
  <c r="J17" i="11" a="1"/>
  <c r="J17" i="11" s="1"/>
  <c r="I18" i="10"/>
  <c r="J18" i="11" a="1"/>
  <c r="J18" i="11" s="1"/>
  <c r="I19" i="10"/>
  <c r="J19" i="11" a="1"/>
  <c r="J19" i="11" s="1"/>
  <c r="I20" i="10"/>
  <c r="J20" i="11" a="1"/>
  <c r="J20" i="11" s="1"/>
  <c r="I21" i="10"/>
  <c r="J21" i="11" a="1"/>
  <c r="J21" i="11" s="1"/>
  <c r="I22" i="10"/>
  <c r="J22" i="11" a="1"/>
  <c r="J22" i="11" s="1"/>
  <c r="I23" i="10"/>
  <c r="J23" i="11" a="1"/>
  <c r="J23" i="11" s="1"/>
  <c r="I24" i="10"/>
  <c r="J24" i="11" a="1"/>
  <c r="J24" i="11" s="1"/>
  <c r="I25" i="10"/>
  <c r="J25" i="11" a="1"/>
  <c r="J25" i="11" s="1"/>
  <c r="I26" i="10"/>
  <c r="J26" i="11" a="1"/>
  <c r="J26" i="11" s="1"/>
  <c r="I27" i="10"/>
  <c r="J27" i="11" a="1"/>
  <c r="J27" i="11" s="1"/>
  <c r="I28" i="10"/>
  <c r="J28" i="11" a="1"/>
  <c r="J28" i="11" s="1"/>
  <c r="I29" i="10"/>
  <c r="J29" i="11" a="1"/>
  <c r="J29" i="11" s="1"/>
  <c r="I30" i="10"/>
  <c r="J30" i="11" a="1"/>
  <c r="J30" i="11" s="1"/>
  <c r="I31" i="10"/>
  <c r="J31" i="11" a="1"/>
  <c r="J31" i="11" s="1"/>
  <c r="I32" i="10"/>
  <c r="J32" i="11" a="1"/>
  <c r="J32" i="11" s="1"/>
  <c r="I33" i="10"/>
  <c r="J33" i="11" a="1"/>
  <c r="J33" i="11" s="1"/>
  <c r="I34" i="10"/>
  <c r="J34" i="11" a="1"/>
  <c r="J34" i="11" s="1"/>
  <c r="I35" i="10"/>
  <c r="J35" i="11" a="1"/>
  <c r="J35" i="11" s="1"/>
  <c r="I36" i="10"/>
  <c r="J36" i="11" a="1"/>
  <c r="J36" i="11" s="1"/>
  <c r="I37" i="10"/>
  <c r="J37" i="11" a="1"/>
  <c r="J37" i="11" s="1"/>
  <c r="I38" i="10"/>
  <c r="J38" i="11" a="1"/>
  <c r="J38" i="11" s="1"/>
  <c r="I39" i="10"/>
  <c r="J39" i="11" a="1"/>
  <c r="J39" i="11" s="1"/>
  <c r="I40" i="10"/>
  <c r="J40" i="11" a="1"/>
  <c r="J40" i="11" s="1"/>
  <c r="I41" i="10"/>
  <c r="J41" i="11" a="1"/>
  <c r="J41" i="11" s="1"/>
  <c r="I42" i="10"/>
  <c r="J42" i="11" a="1"/>
  <c r="J42" i="11" s="1"/>
  <c r="I44" i="10"/>
  <c r="J44" i="11" a="1"/>
  <c r="J44" i="11" s="1"/>
  <c r="I3" i="10"/>
  <c r="J3" i="11" a="1"/>
  <c r="J3" i="11" s="1"/>
  <c r="I49" i="10"/>
  <c r="J49" i="11" a="1"/>
  <c r="J49" i="11" s="1"/>
  <c r="I48" i="10"/>
  <c r="J48" i="11" a="1"/>
  <c r="J48" i="11" s="1"/>
  <c r="I47" i="10"/>
  <c r="J47" i="11" a="1"/>
  <c r="J47" i="11" s="1"/>
  <c r="I46" i="10"/>
  <c r="J46" i="11" a="1"/>
  <c r="J46" i="11" s="1"/>
  <c r="I45" i="10"/>
  <c r="J45" i="11" a="1"/>
  <c r="J45" i="11" s="1"/>
  <c r="J43" i="11" a="1"/>
  <c r="J43" i="11" s="1"/>
  <c r="J43" i="10" s="1"/>
  <c r="J2" i="11" a="1"/>
  <c r="J2" i="11" s="1"/>
  <c r="I2" i="10"/>
  <c r="AX45" i="10"/>
  <c r="AX46" i="10"/>
  <c r="AX47" i="10"/>
  <c r="AX48" i="10"/>
  <c r="AL45" i="10"/>
  <c r="AL46" i="10"/>
  <c r="AL47" i="10"/>
  <c r="AL48" i="10"/>
  <c r="Z45" i="10"/>
  <c r="Z46" i="10"/>
  <c r="Z47" i="10"/>
  <c r="Z48" i="10"/>
  <c r="Z49" i="10"/>
  <c r="AX49" i="10"/>
  <c r="AL49" i="10"/>
  <c r="G50" i="10"/>
  <c r="G57" i="10" s="1"/>
  <c r="AX50" i="11"/>
  <c r="AL50" i="11"/>
  <c r="Z50" i="11"/>
  <c r="K43" i="11" l="1" a="1"/>
  <c r="K43" i="11" s="1"/>
  <c r="K43" i="10" s="1"/>
  <c r="J2" i="10"/>
  <c r="J50" i="11"/>
  <c r="K2" i="11" a="1"/>
  <c r="K2" i="11" s="1"/>
  <c r="J46" i="10"/>
  <c r="K45" i="11" a="1"/>
  <c r="K45" i="11" s="1"/>
  <c r="J47" i="10"/>
  <c r="K46" i="11" a="1"/>
  <c r="K46" i="11" s="1"/>
  <c r="J48" i="10"/>
  <c r="K47" i="11" a="1"/>
  <c r="K47" i="11" s="1"/>
  <c r="J49" i="10"/>
  <c r="K48" i="11" a="1"/>
  <c r="K48" i="11" s="1"/>
  <c r="K49" i="11" a="1"/>
  <c r="K49" i="11" s="1"/>
  <c r="K3" i="11" a="1"/>
  <c r="K3" i="11" s="1"/>
  <c r="J3" i="10"/>
  <c r="J44" i="10"/>
  <c r="J45" i="10"/>
  <c r="K44" i="11" a="1"/>
  <c r="K44" i="11" s="1"/>
  <c r="J42" i="10"/>
  <c r="K42" i="11" a="1"/>
  <c r="K42" i="11" s="1"/>
  <c r="J41" i="10"/>
  <c r="K41" i="11" a="1"/>
  <c r="K41" i="11" s="1"/>
  <c r="J40" i="10"/>
  <c r="K40" i="11" a="1"/>
  <c r="K40" i="11" s="1"/>
  <c r="J39" i="10"/>
  <c r="K39" i="11" a="1"/>
  <c r="K39" i="11" s="1"/>
  <c r="J38" i="10"/>
  <c r="K38" i="11" a="1"/>
  <c r="K38" i="11" s="1"/>
  <c r="J37" i="10"/>
  <c r="K37" i="11" a="1"/>
  <c r="K37" i="11" s="1"/>
  <c r="J36" i="10"/>
  <c r="K36" i="11" a="1"/>
  <c r="K36" i="11" s="1"/>
  <c r="J35" i="10"/>
  <c r="K35" i="11" a="1"/>
  <c r="K35" i="11" s="1"/>
  <c r="J34" i="10"/>
  <c r="K34" i="11" a="1"/>
  <c r="K34" i="11" s="1"/>
  <c r="J33" i="10"/>
  <c r="K33" i="11" a="1"/>
  <c r="K33" i="11" s="1"/>
  <c r="J32" i="10"/>
  <c r="K32" i="11" a="1"/>
  <c r="K32" i="11" s="1"/>
  <c r="J31" i="10"/>
  <c r="K31" i="11" a="1"/>
  <c r="K31" i="11" s="1"/>
  <c r="J30" i="10"/>
  <c r="K30" i="11" a="1"/>
  <c r="K30" i="11" s="1"/>
  <c r="J29" i="10"/>
  <c r="K29" i="11" a="1"/>
  <c r="K29" i="11" s="1"/>
  <c r="J28" i="10"/>
  <c r="K28" i="11" a="1"/>
  <c r="K28" i="11" s="1"/>
  <c r="J27" i="10"/>
  <c r="K27" i="11" a="1"/>
  <c r="K27" i="11" s="1"/>
  <c r="J26" i="10"/>
  <c r="K26" i="11" a="1"/>
  <c r="K26" i="11" s="1"/>
  <c r="J25" i="10"/>
  <c r="K25" i="11" a="1"/>
  <c r="K25" i="11" s="1"/>
  <c r="J24" i="10"/>
  <c r="K24" i="11" a="1"/>
  <c r="K24" i="11" s="1"/>
  <c r="J23" i="10"/>
  <c r="K23" i="11" a="1"/>
  <c r="K23" i="11" s="1"/>
  <c r="J22" i="10"/>
  <c r="K22" i="11" a="1"/>
  <c r="K22" i="11" s="1"/>
  <c r="J21" i="10"/>
  <c r="K21" i="11" a="1"/>
  <c r="K21" i="11" s="1"/>
  <c r="J20" i="10"/>
  <c r="K20" i="11" a="1"/>
  <c r="K20" i="11" s="1"/>
  <c r="J19" i="10"/>
  <c r="K19" i="11" a="1"/>
  <c r="K19" i="11" s="1"/>
  <c r="J18" i="10"/>
  <c r="K18" i="11" a="1"/>
  <c r="K18" i="11" s="1"/>
  <c r="J17" i="10"/>
  <c r="K17" i="11" a="1"/>
  <c r="K17" i="11" s="1"/>
  <c r="J16" i="10"/>
  <c r="K16" i="11" a="1"/>
  <c r="K16" i="11" s="1"/>
  <c r="J15" i="10"/>
  <c r="K15" i="11" a="1"/>
  <c r="K15" i="11" s="1"/>
  <c r="J14" i="10"/>
  <c r="K14" i="11" a="1"/>
  <c r="K14" i="11" s="1"/>
  <c r="J13" i="10"/>
  <c r="K13" i="11" a="1"/>
  <c r="K13" i="11" s="1"/>
  <c r="J12" i="10"/>
  <c r="K12" i="11" a="1"/>
  <c r="K12" i="11" s="1"/>
  <c r="J11" i="10"/>
  <c r="K11" i="11" a="1"/>
  <c r="K11" i="11" s="1"/>
  <c r="J10" i="10"/>
  <c r="K10" i="11" a="1"/>
  <c r="K10" i="11" s="1"/>
  <c r="J9" i="10"/>
  <c r="K9" i="11" a="1"/>
  <c r="K9" i="11" s="1"/>
  <c r="J8" i="10"/>
  <c r="K8" i="11" a="1"/>
  <c r="K8" i="11" s="1"/>
  <c r="J7" i="10"/>
  <c r="K7" i="11" a="1"/>
  <c r="K7" i="11" s="1"/>
  <c r="J6" i="10"/>
  <c r="K6" i="11" a="1"/>
  <c r="K6" i="11" s="1"/>
  <c r="J5" i="10"/>
  <c r="K5" i="11" a="1"/>
  <c r="K5" i="11" s="1"/>
  <c r="J4" i="10"/>
  <c r="K4" i="11" a="1"/>
  <c r="K4" i="11" s="1"/>
  <c r="H50" i="10"/>
  <c r="H57" i="10" l="1"/>
  <c r="L43" i="11" a="1"/>
  <c r="L43" i="11" s="1"/>
  <c r="L43" i="10" s="1"/>
  <c r="K4" i="10"/>
  <c r="L4" i="11" a="1"/>
  <c r="L4" i="11" s="1"/>
  <c r="K5" i="10"/>
  <c r="L5" i="11" a="1"/>
  <c r="L5" i="11" s="1"/>
  <c r="K6" i="10"/>
  <c r="L6" i="11" a="1"/>
  <c r="L6" i="11" s="1"/>
  <c r="K7" i="10"/>
  <c r="L7" i="11" a="1"/>
  <c r="L7" i="11" s="1"/>
  <c r="K8" i="10"/>
  <c r="L8" i="11" a="1"/>
  <c r="L8" i="11" s="1"/>
  <c r="K9" i="10"/>
  <c r="L9" i="11" a="1"/>
  <c r="L9" i="11" s="1"/>
  <c r="K10" i="10"/>
  <c r="L10" i="11" a="1"/>
  <c r="L10" i="11" s="1"/>
  <c r="K11" i="10"/>
  <c r="L11" i="11" a="1"/>
  <c r="L11" i="11" s="1"/>
  <c r="K12" i="10"/>
  <c r="L12" i="11" a="1"/>
  <c r="L12" i="11" s="1"/>
  <c r="K13" i="10"/>
  <c r="L13" i="11" a="1"/>
  <c r="L13" i="11" s="1"/>
  <c r="K14" i="10"/>
  <c r="L14" i="11" a="1"/>
  <c r="L14" i="11" s="1"/>
  <c r="K15" i="10"/>
  <c r="L15" i="11" a="1"/>
  <c r="L15" i="11" s="1"/>
  <c r="K16" i="10"/>
  <c r="L16" i="11" a="1"/>
  <c r="L16" i="11" s="1"/>
  <c r="K17" i="10"/>
  <c r="L17" i="11" a="1"/>
  <c r="L17" i="11" s="1"/>
  <c r="K18" i="10"/>
  <c r="L18" i="11" a="1"/>
  <c r="L18" i="11" s="1"/>
  <c r="K19" i="10"/>
  <c r="L19" i="11" a="1"/>
  <c r="L19" i="11" s="1"/>
  <c r="K20" i="10"/>
  <c r="L20" i="11" a="1"/>
  <c r="L20" i="11" s="1"/>
  <c r="K21" i="10"/>
  <c r="L21" i="11" a="1"/>
  <c r="L21" i="11" s="1"/>
  <c r="K22" i="10"/>
  <c r="L22" i="11" a="1"/>
  <c r="L22" i="11" s="1"/>
  <c r="K23" i="10"/>
  <c r="L23" i="11" a="1"/>
  <c r="L23" i="11" s="1"/>
  <c r="K24" i="10"/>
  <c r="L24" i="11" a="1"/>
  <c r="L24" i="11" s="1"/>
  <c r="K25" i="10"/>
  <c r="L25" i="11" a="1"/>
  <c r="L25" i="11" s="1"/>
  <c r="K26" i="10"/>
  <c r="L26" i="11" a="1"/>
  <c r="L26" i="11" s="1"/>
  <c r="K27" i="10"/>
  <c r="L27" i="11" a="1"/>
  <c r="L27" i="11" s="1"/>
  <c r="K28" i="10"/>
  <c r="L28" i="11" a="1"/>
  <c r="L28" i="11" s="1"/>
  <c r="K29" i="10"/>
  <c r="L29" i="11" a="1"/>
  <c r="L29" i="11" s="1"/>
  <c r="K30" i="10"/>
  <c r="L30" i="11" a="1"/>
  <c r="L30" i="11" s="1"/>
  <c r="K31" i="10"/>
  <c r="L31" i="11" a="1"/>
  <c r="L31" i="11" s="1"/>
  <c r="K32" i="10"/>
  <c r="L32" i="11" a="1"/>
  <c r="L32" i="11" s="1"/>
  <c r="K33" i="10"/>
  <c r="L33" i="11" a="1"/>
  <c r="L33" i="11" s="1"/>
  <c r="K34" i="10"/>
  <c r="L34" i="11" a="1"/>
  <c r="L34" i="11" s="1"/>
  <c r="K35" i="10"/>
  <c r="L35" i="11" a="1"/>
  <c r="L35" i="11" s="1"/>
  <c r="K36" i="10"/>
  <c r="L36" i="11" a="1"/>
  <c r="L36" i="11" s="1"/>
  <c r="K37" i="10"/>
  <c r="L37" i="11" a="1"/>
  <c r="L37" i="11" s="1"/>
  <c r="K38" i="10"/>
  <c r="L38" i="11" a="1"/>
  <c r="L38" i="11" s="1"/>
  <c r="K39" i="10"/>
  <c r="L39" i="11" a="1"/>
  <c r="L39" i="11" s="1"/>
  <c r="K40" i="10"/>
  <c r="L40" i="11" a="1"/>
  <c r="L40" i="11" s="1"/>
  <c r="K41" i="10"/>
  <c r="L41" i="11" a="1"/>
  <c r="L41" i="11" s="1"/>
  <c r="K42" i="10"/>
  <c r="L42" i="11" a="1"/>
  <c r="L42" i="11" s="1"/>
  <c r="K44" i="10"/>
  <c r="L44" i="11" a="1"/>
  <c r="L44" i="11" s="1"/>
  <c r="K3" i="10"/>
  <c r="L3" i="11" a="1"/>
  <c r="L3" i="11" s="1"/>
  <c r="K49" i="10"/>
  <c r="L49" i="11" a="1"/>
  <c r="L49" i="11" s="1"/>
  <c r="K48" i="10"/>
  <c r="L48" i="11" a="1"/>
  <c r="L48" i="11" s="1"/>
  <c r="K47" i="10"/>
  <c r="L47" i="11" a="1"/>
  <c r="L47" i="11" s="1"/>
  <c r="K46" i="10"/>
  <c r="L46" i="11" a="1"/>
  <c r="L46" i="11" s="1"/>
  <c r="K45" i="10"/>
  <c r="L45" i="11" a="1"/>
  <c r="L45" i="11" s="1"/>
  <c r="K2" i="10"/>
  <c r="L2" i="11" a="1"/>
  <c r="L2" i="11" s="1"/>
  <c r="K50" i="11"/>
  <c r="I50" i="10"/>
  <c r="I57" i="10" s="1"/>
  <c r="M43" i="11" l="1" a="1"/>
  <c r="M43" i="11" s="1"/>
  <c r="M43" i="10" s="1"/>
  <c r="L2" i="10"/>
  <c r="M2" i="11" a="1"/>
  <c r="M2" i="11" s="1"/>
  <c r="L50" i="11"/>
  <c r="L46" i="10"/>
  <c r="M45" i="11" a="1"/>
  <c r="M45" i="11" s="1"/>
  <c r="L47" i="10"/>
  <c r="M46" i="11" a="1"/>
  <c r="M46" i="11" s="1"/>
  <c r="L48" i="10"/>
  <c r="M47" i="11" a="1"/>
  <c r="M47" i="11" s="1"/>
  <c r="L49" i="10"/>
  <c r="M48" i="11" a="1"/>
  <c r="M48" i="11" s="1"/>
  <c r="M49" i="11" a="1"/>
  <c r="M49" i="11" s="1"/>
  <c r="L3" i="10"/>
  <c r="M3" i="11" a="1"/>
  <c r="M3" i="11" s="1"/>
  <c r="L44" i="10"/>
  <c r="L45" i="10"/>
  <c r="M44" i="11" a="1"/>
  <c r="M44" i="11" s="1"/>
  <c r="L42" i="10"/>
  <c r="M42" i="11" a="1"/>
  <c r="M42" i="11" s="1"/>
  <c r="L41" i="10"/>
  <c r="M41" i="11" a="1"/>
  <c r="M41" i="11" s="1"/>
  <c r="L40" i="10"/>
  <c r="M40" i="11" a="1"/>
  <c r="M40" i="11" s="1"/>
  <c r="L39" i="10"/>
  <c r="M39" i="11" a="1"/>
  <c r="M39" i="11" s="1"/>
  <c r="L38" i="10"/>
  <c r="M38" i="11" a="1"/>
  <c r="M38" i="11" s="1"/>
  <c r="L37" i="10"/>
  <c r="M37" i="11" a="1"/>
  <c r="M37" i="11" s="1"/>
  <c r="L36" i="10"/>
  <c r="M36" i="11" a="1"/>
  <c r="M36" i="11" s="1"/>
  <c r="L35" i="10"/>
  <c r="M35" i="11" a="1"/>
  <c r="M35" i="11" s="1"/>
  <c r="L34" i="10"/>
  <c r="M34" i="11" a="1"/>
  <c r="M34" i="11" s="1"/>
  <c r="L33" i="10"/>
  <c r="M33" i="11" a="1"/>
  <c r="M33" i="11" s="1"/>
  <c r="L32" i="10"/>
  <c r="M32" i="11" a="1"/>
  <c r="M32" i="11" s="1"/>
  <c r="L31" i="10"/>
  <c r="M31" i="11" a="1"/>
  <c r="M31" i="11" s="1"/>
  <c r="L30" i="10"/>
  <c r="M30" i="11" a="1"/>
  <c r="M30" i="11" s="1"/>
  <c r="L29" i="10"/>
  <c r="M29" i="11" a="1"/>
  <c r="M29" i="11" s="1"/>
  <c r="L28" i="10"/>
  <c r="M28" i="11" a="1"/>
  <c r="M28" i="11" s="1"/>
  <c r="L27" i="10"/>
  <c r="M27" i="11" a="1"/>
  <c r="M27" i="11" s="1"/>
  <c r="L26" i="10"/>
  <c r="M26" i="11" a="1"/>
  <c r="M26" i="11" s="1"/>
  <c r="L25" i="10"/>
  <c r="M25" i="11" a="1"/>
  <c r="M25" i="11" s="1"/>
  <c r="L24" i="10"/>
  <c r="M24" i="11" a="1"/>
  <c r="M24" i="11" s="1"/>
  <c r="L23" i="10"/>
  <c r="M23" i="11" a="1"/>
  <c r="M23" i="11" s="1"/>
  <c r="L22" i="10"/>
  <c r="M22" i="11" a="1"/>
  <c r="M22" i="11" s="1"/>
  <c r="L21" i="10"/>
  <c r="M21" i="11" a="1"/>
  <c r="M21" i="11" s="1"/>
  <c r="L20" i="10"/>
  <c r="M20" i="11" a="1"/>
  <c r="M20" i="11" s="1"/>
  <c r="L19" i="10"/>
  <c r="M19" i="11" a="1"/>
  <c r="M19" i="11" s="1"/>
  <c r="L18" i="10"/>
  <c r="M18" i="11" a="1"/>
  <c r="M18" i="11" s="1"/>
  <c r="L17" i="10"/>
  <c r="M17" i="11" a="1"/>
  <c r="M17" i="11" s="1"/>
  <c r="L16" i="10"/>
  <c r="M16" i="11" a="1"/>
  <c r="M16" i="11" s="1"/>
  <c r="L15" i="10"/>
  <c r="M15" i="11" a="1"/>
  <c r="M15" i="11" s="1"/>
  <c r="L14" i="10"/>
  <c r="M14" i="11" a="1"/>
  <c r="M14" i="11" s="1"/>
  <c r="L13" i="10"/>
  <c r="M13" i="11" a="1"/>
  <c r="M13" i="11" s="1"/>
  <c r="L12" i="10"/>
  <c r="M12" i="11" a="1"/>
  <c r="M12" i="11" s="1"/>
  <c r="L11" i="10"/>
  <c r="M11" i="11" a="1"/>
  <c r="M11" i="11" s="1"/>
  <c r="L10" i="10"/>
  <c r="M10" i="11" a="1"/>
  <c r="M10" i="11" s="1"/>
  <c r="L9" i="10"/>
  <c r="M9" i="11" a="1"/>
  <c r="M9" i="11" s="1"/>
  <c r="L8" i="10"/>
  <c r="M8" i="11" a="1"/>
  <c r="M8" i="11" s="1"/>
  <c r="L7" i="10"/>
  <c r="M7" i="11" a="1"/>
  <c r="M7" i="11" s="1"/>
  <c r="L6" i="10"/>
  <c r="M6" i="11" a="1"/>
  <c r="M6" i="11" s="1"/>
  <c r="L5" i="10"/>
  <c r="M5" i="11" a="1"/>
  <c r="M5" i="11" s="1"/>
  <c r="M4" i="11" a="1"/>
  <c r="M4" i="11" s="1"/>
  <c r="L4" i="10"/>
  <c r="J50" i="10"/>
  <c r="J57" i="10" s="1"/>
  <c r="N43" i="11" l="1" a="1"/>
  <c r="N43" i="11" s="1"/>
  <c r="N43" i="10" s="1"/>
  <c r="N42" i="11" a="1"/>
  <c r="N42" i="11" s="1"/>
  <c r="M4" i="10"/>
  <c r="N4" i="11" a="1"/>
  <c r="N4" i="11" s="1"/>
  <c r="N4" i="10" s="1"/>
  <c r="BF4" i="10" s="1" a="1"/>
  <c r="BF4" i="10" s="1"/>
  <c r="BH4" i="10" s="1"/>
  <c r="M5" i="10"/>
  <c r="N5" i="11" a="1"/>
  <c r="N5" i="11" s="1"/>
  <c r="N5" i="10" s="1"/>
  <c r="BF5" i="10" s="1" a="1"/>
  <c r="BF5" i="10" s="1"/>
  <c r="BH5" i="10" s="1"/>
  <c r="M6" i="10"/>
  <c r="N6" i="11" a="1"/>
  <c r="N6" i="11" s="1"/>
  <c r="N6" i="10" s="1"/>
  <c r="BF6" i="10" s="1" a="1"/>
  <c r="BF6" i="10" s="1"/>
  <c r="BH6" i="10" s="1"/>
  <c r="M7" i="10"/>
  <c r="N7" i="11" a="1"/>
  <c r="N7" i="11" s="1"/>
  <c r="N7" i="10" s="1"/>
  <c r="BF7" i="10" s="1" a="1"/>
  <c r="BF7" i="10" s="1"/>
  <c r="BH7" i="10" s="1"/>
  <c r="M8" i="10"/>
  <c r="N8" i="11" a="1"/>
  <c r="N8" i="11" s="1"/>
  <c r="N8" i="10" s="1"/>
  <c r="M9" i="10"/>
  <c r="N9" i="11" a="1"/>
  <c r="N9" i="11" s="1"/>
  <c r="N9" i="10" s="1"/>
  <c r="BF9" i="10" s="1" a="1"/>
  <c r="BF9" i="10" s="1"/>
  <c r="BH9" i="10" s="1"/>
  <c r="M10" i="10"/>
  <c r="N10" i="11" a="1"/>
  <c r="N10" i="11" s="1"/>
  <c r="N10" i="10" s="1"/>
  <c r="BF10" i="10" s="1" a="1"/>
  <c r="BF10" i="10" s="1"/>
  <c r="BH10" i="10" s="1"/>
  <c r="M11" i="10"/>
  <c r="N11" i="11" a="1"/>
  <c r="N11" i="11" s="1"/>
  <c r="N11" i="10" s="1"/>
  <c r="BF11" i="10" s="1" a="1"/>
  <c r="BF11" i="10" s="1"/>
  <c r="BH11" i="10" s="1"/>
  <c r="M12" i="10"/>
  <c r="N12" i="11" a="1"/>
  <c r="N12" i="11" s="1"/>
  <c r="N12" i="10" s="1"/>
  <c r="BF12" i="10" s="1" a="1"/>
  <c r="BF12" i="10" s="1"/>
  <c r="BH12" i="10" s="1"/>
  <c r="M13" i="10"/>
  <c r="N13" i="11" a="1"/>
  <c r="N13" i="11" s="1"/>
  <c r="N13" i="10" s="1"/>
  <c r="BF13" i="10" s="1" a="1"/>
  <c r="BF13" i="10" s="1"/>
  <c r="BH13" i="10" s="1"/>
  <c r="M14" i="10"/>
  <c r="N14" i="11" a="1"/>
  <c r="N14" i="11" s="1"/>
  <c r="N14" i="10" s="1"/>
  <c r="BF14" i="10" s="1" a="1"/>
  <c r="BF14" i="10" s="1"/>
  <c r="BH14" i="10" s="1"/>
  <c r="M15" i="10"/>
  <c r="N15" i="11" a="1"/>
  <c r="N15" i="11" s="1"/>
  <c r="N15" i="10" s="1"/>
  <c r="BF15" i="10" s="1" a="1"/>
  <c r="BF15" i="10" s="1"/>
  <c r="BH15" i="10" s="1"/>
  <c r="M16" i="10"/>
  <c r="N16" i="11" a="1"/>
  <c r="N16" i="11" s="1"/>
  <c r="N16" i="10" s="1"/>
  <c r="BF16" i="10" s="1" a="1"/>
  <c r="BF16" i="10" s="1"/>
  <c r="BH16" i="10" s="1"/>
  <c r="M17" i="10"/>
  <c r="N17" i="11" a="1"/>
  <c r="N17" i="11" s="1"/>
  <c r="N17" i="10" s="1"/>
  <c r="BF17" i="10" s="1" a="1"/>
  <c r="BF17" i="10" s="1"/>
  <c r="BH17" i="10" s="1"/>
  <c r="M18" i="10"/>
  <c r="N18" i="11" a="1"/>
  <c r="N18" i="11" s="1"/>
  <c r="N18" i="10" s="1"/>
  <c r="BF18" i="10" s="1" a="1"/>
  <c r="BF18" i="10" s="1"/>
  <c r="BH18" i="10" s="1"/>
  <c r="M19" i="10"/>
  <c r="N19" i="11" a="1"/>
  <c r="N19" i="11" s="1"/>
  <c r="N19" i="10" s="1"/>
  <c r="BF19" i="10" s="1" a="1"/>
  <c r="BF19" i="10" s="1"/>
  <c r="BH19" i="10" s="1"/>
  <c r="M20" i="10"/>
  <c r="N20" i="11" a="1"/>
  <c r="N20" i="11" s="1"/>
  <c r="N20" i="10" s="1"/>
  <c r="BF20" i="10" s="1" a="1"/>
  <c r="BF20" i="10" s="1"/>
  <c r="BH20" i="10" s="1"/>
  <c r="M21" i="10"/>
  <c r="N21" i="11" a="1"/>
  <c r="N21" i="11" s="1"/>
  <c r="N21" i="10" s="1"/>
  <c r="BF21" i="10" s="1" a="1"/>
  <c r="BF21" i="10" s="1"/>
  <c r="BH21" i="10" s="1"/>
  <c r="M22" i="10"/>
  <c r="N22" i="11" a="1"/>
  <c r="N22" i="11" s="1"/>
  <c r="N22" i="10" s="1"/>
  <c r="BF22" i="10" s="1" a="1"/>
  <c r="BF22" i="10" s="1"/>
  <c r="BH22" i="10" s="1"/>
  <c r="M23" i="10"/>
  <c r="N23" i="11" a="1"/>
  <c r="N23" i="11" s="1"/>
  <c r="N23" i="10" s="1"/>
  <c r="BF23" i="10" s="1" a="1"/>
  <c r="BF23" i="10" s="1"/>
  <c r="BH23" i="10" s="1"/>
  <c r="M24" i="10"/>
  <c r="N24" i="11" a="1"/>
  <c r="N24" i="11" s="1"/>
  <c r="N24" i="10" s="1"/>
  <c r="BF24" i="10" s="1" a="1"/>
  <c r="BF24" i="10" s="1"/>
  <c r="BH24" i="10" s="1"/>
  <c r="M25" i="10"/>
  <c r="N25" i="11" a="1"/>
  <c r="N25" i="11" s="1"/>
  <c r="N25" i="10" s="1"/>
  <c r="BF25" i="10" s="1" a="1"/>
  <c r="BF25" i="10" s="1"/>
  <c r="BH25" i="10" s="1"/>
  <c r="M26" i="10"/>
  <c r="N26" i="11" a="1"/>
  <c r="N26" i="11" s="1"/>
  <c r="N26" i="10" s="1"/>
  <c r="BF26" i="10" s="1" a="1"/>
  <c r="BF26" i="10" s="1"/>
  <c r="BH26" i="10" s="1"/>
  <c r="M27" i="10"/>
  <c r="N27" i="11" a="1"/>
  <c r="N27" i="11" s="1"/>
  <c r="N27" i="10" s="1"/>
  <c r="BF27" i="10" s="1" a="1"/>
  <c r="BF27" i="10" s="1"/>
  <c r="BH27" i="10" s="1"/>
  <c r="M28" i="10"/>
  <c r="N28" i="11" a="1"/>
  <c r="N28" i="11" s="1"/>
  <c r="N28" i="10" s="1"/>
  <c r="BF28" i="10" s="1" a="1"/>
  <c r="BF28" i="10" s="1"/>
  <c r="BH28" i="10" s="1"/>
  <c r="M29" i="10"/>
  <c r="N29" i="11" a="1"/>
  <c r="N29" i="11" s="1"/>
  <c r="N29" i="10" s="1"/>
  <c r="BF29" i="10" s="1" a="1"/>
  <c r="BF29" i="10" s="1"/>
  <c r="BH29" i="10" s="1"/>
  <c r="M30" i="10"/>
  <c r="N30" i="11" a="1"/>
  <c r="N30" i="11" s="1"/>
  <c r="N30" i="10" s="1"/>
  <c r="BF30" i="10" s="1" a="1"/>
  <c r="BF30" i="10" s="1"/>
  <c r="BH30" i="10" s="1"/>
  <c r="M31" i="10"/>
  <c r="N31" i="11" a="1"/>
  <c r="N31" i="11" s="1"/>
  <c r="N31" i="10" s="1"/>
  <c r="BF31" i="10" s="1" a="1"/>
  <c r="BF31" i="10" s="1"/>
  <c r="BH31" i="10" s="1"/>
  <c r="M32" i="10"/>
  <c r="N32" i="11" a="1"/>
  <c r="N32" i="11" s="1"/>
  <c r="N32" i="10" s="1"/>
  <c r="BF32" i="10" s="1" a="1"/>
  <c r="BF32" i="10" s="1"/>
  <c r="BH32" i="10" s="1"/>
  <c r="M33" i="10"/>
  <c r="N33" i="11" a="1"/>
  <c r="N33" i="11" s="1"/>
  <c r="N33" i="10" s="1"/>
  <c r="BF33" i="10" s="1" a="1"/>
  <c r="BF33" i="10" s="1"/>
  <c r="BH33" i="10" s="1"/>
  <c r="M34" i="10"/>
  <c r="N34" i="11" a="1"/>
  <c r="N34" i="11" s="1"/>
  <c r="N34" i="10" s="1"/>
  <c r="BF34" i="10" s="1" a="1"/>
  <c r="BF34" i="10" s="1"/>
  <c r="BH34" i="10" s="1"/>
  <c r="M35" i="10"/>
  <c r="N35" i="11" a="1"/>
  <c r="N35" i="11" s="1"/>
  <c r="N35" i="10" s="1"/>
  <c r="BF35" i="10" s="1" a="1"/>
  <c r="BF35" i="10" s="1"/>
  <c r="BH35" i="10" s="1"/>
  <c r="M36" i="10"/>
  <c r="N36" i="11" a="1"/>
  <c r="N36" i="11" s="1"/>
  <c r="N36" i="10" s="1"/>
  <c r="BF36" i="10" s="1" a="1"/>
  <c r="BF36" i="10" s="1"/>
  <c r="BH36" i="10" s="1"/>
  <c r="M37" i="10"/>
  <c r="N37" i="11" a="1"/>
  <c r="N37" i="11" s="1"/>
  <c r="N37" i="10" s="1"/>
  <c r="BF37" i="10" s="1" a="1"/>
  <c r="BF37" i="10" s="1"/>
  <c r="BH37" i="10" s="1"/>
  <c r="M38" i="10"/>
  <c r="N38" i="11" a="1"/>
  <c r="N38" i="11" s="1"/>
  <c r="N38" i="10" s="1"/>
  <c r="BF38" i="10" s="1" a="1"/>
  <c r="BF38" i="10" s="1"/>
  <c r="BH38" i="10" s="1"/>
  <c r="M39" i="10"/>
  <c r="N39" i="11" a="1"/>
  <c r="N39" i="11" s="1"/>
  <c r="N39" i="10" s="1"/>
  <c r="BF39" i="10" s="1" a="1"/>
  <c r="BF39" i="10" s="1"/>
  <c r="BH39" i="10" s="1"/>
  <c r="M40" i="10"/>
  <c r="N40" i="11" a="1"/>
  <c r="N40" i="11" s="1"/>
  <c r="N40" i="10" s="1"/>
  <c r="BF40" i="10" s="1" a="1"/>
  <c r="BF40" i="10" s="1"/>
  <c r="BH40" i="10" s="1"/>
  <c r="M41" i="10"/>
  <c r="N41" i="11" a="1"/>
  <c r="N41" i="11" s="1"/>
  <c r="N41" i="10" s="1"/>
  <c r="BF41" i="10" s="1" a="1"/>
  <c r="BF41" i="10" s="1"/>
  <c r="BH41" i="10" s="1"/>
  <c r="M42" i="10"/>
  <c r="N42" i="10"/>
  <c r="BF42" i="10" s="1" a="1"/>
  <c r="BF42" i="10" s="1"/>
  <c r="BH42" i="10" s="1"/>
  <c r="M44" i="10"/>
  <c r="N44" i="11" a="1"/>
  <c r="N44" i="11" s="1"/>
  <c r="M3" i="10"/>
  <c r="N3" i="11" a="1"/>
  <c r="N3" i="11" s="1"/>
  <c r="N3" i="10" s="1"/>
  <c r="BF3" i="10" s="1" a="1"/>
  <c r="BF3" i="10" s="1"/>
  <c r="BH3" i="10" s="1"/>
  <c r="M49" i="10"/>
  <c r="N49" i="11" a="1"/>
  <c r="N49" i="11" s="1"/>
  <c r="M48" i="10"/>
  <c r="N48" i="11" a="1"/>
  <c r="N48" i="11" s="1"/>
  <c r="N49" i="10" s="1"/>
  <c r="M47" i="10"/>
  <c r="N47" i="11" a="1"/>
  <c r="N47" i="11" s="1"/>
  <c r="N48" i="10" s="1"/>
  <c r="M46" i="10"/>
  <c r="N46" i="11" a="1"/>
  <c r="N46" i="11" s="1"/>
  <c r="N47" i="10" s="1"/>
  <c r="M45" i="10"/>
  <c r="N45" i="11" a="1"/>
  <c r="N45" i="11" s="1"/>
  <c r="N46" i="10" s="1"/>
  <c r="M2" i="10"/>
  <c r="N2" i="11" a="1"/>
  <c r="N2" i="11" s="1"/>
  <c r="M50" i="11"/>
  <c r="K50" i="10"/>
  <c r="K57" i="10" s="1"/>
  <c r="BF8" i="10" l="1" a="1"/>
  <c r="BF8" i="10" s="1"/>
  <c r="BH8" i="10" s="1"/>
  <c r="BF43" i="10" a="1"/>
  <c r="BF43" i="10" s="1"/>
  <c r="BH43" i="10" s="1"/>
  <c r="N2" i="10"/>
  <c r="BF2" i="10" s="1" a="1"/>
  <c r="BF2" i="10" s="1"/>
  <c r="BH2" i="10" s="1"/>
  <c r="N50" i="11"/>
  <c r="BF46" i="10" a="1"/>
  <c r="BF46" i="10" s="1"/>
  <c r="BH46" i="10" s="1"/>
  <c r="BF47" i="10" a="1"/>
  <c r="BF47" i="10" s="1"/>
  <c r="BH47" i="10" s="1"/>
  <c r="BF48" i="10" a="1"/>
  <c r="BF48" i="10" s="1"/>
  <c r="BH48" i="10" s="1"/>
  <c r="BF49" i="10" a="1"/>
  <c r="BF49" i="10" s="1"/>
  <c r="BH49" i="10" s="1"/>
  <c r="N44" i="10"/>
  <c r="BF44" i="10" s="1" a="1"/>
  <c r="BF44" i="10" s="1"/>
  <c r="BH44" i="10" s="1"/>
  <c r="N45" i="10"/>
  <c r="BF45" i="10" s="1" a="1"/>
  <c r="BF45" i="10" s="1"/>
  <c r="BH45" i="10" s="1"/>
  <c r="L50" i="10"/>
  <c r="L57" i="10" s="1"/>
  <c r="BD57" i="10"/>
  <c r="D50" i="10"/>
  <c r="F50" i="10"/>
  <c r="F57" i="10" s="1"/>
  <c r="M50" i="10"/>
  <c r="M57" i="10" s="1"/>
  <c r="N50" i="10"/>
  <c r="N57" i="10" s="1"/>
  <c r="O50" i="10"/>
  <c r="P50" i="10"/>
  <c r="P57" i="10" s="1"/>
  <c r="Q50" i="10"/>
  <c r="Q57" i="10" s="1"/>
  <c r="R50" i="10"/>
  <c r="R57" i="10" s="1"/>
  <c r="S50" i="10"/>
  <c r="S57" i="10" s="1"/>
  <c r="T50" i="10"/>
  <c r="T57" i="10" s="1"/>
  <c r="U50" i="10"/>
  <c r="U57" i="10" s="1"/>
  <c r="V50" i="10"/>
  <c r="V57" i="10" s="1"/>
  <c r="W50" i="10"/>
  <c r="W57" i="10" s="1"/>
  <c r="X50" i="10"/>
  <c r="X57" i="10" s="1"/>
  <c r="Y50" i="10"/>
  <c r="Y57" i="10" s="1"/>
  <c r="Z50" i="10"/>
  <c r="Z57" i="10" s="1"/>
  <c r="AA50" i="10"/>
  <c r="AA57" i="10" s="1"/>
  <c r="AB50" i="10"/>
  <c r="AB57" i="10" s="1"/>
  <c r="AC50" i="10"/>
  <c r="AC57" i="10" s="1"/>
  <c r="AD50" i="10"/>
  <c r="AD57" i="10" s="1"/>
  <c r="AE50" i="10"/>
  <c r="AE57" i="10" s="1"/>
  <c r="AF50" i="10"/>
  <c r="AF57" i="10" s="1"/>
  <c r="AG50" i="10"/>
  <c r="AG57" i="10" s="1"/>
  <c r="AH50" i="10"/>
  <c r="AH57" i="10" s="1"/>
  <c r="AI50" i="10"/>
  <c r="AI57" i="10" s="1"/>
  <c r="AJ50" i="10"/>
  <c r="AJ57" i="10" s="1"/>
  <c r="AK50" i="10"/>
  <c r="AK57" i="10" s="1"/>
  <c r="AL50" i="10"/>
  <c r="AL57" i="10" s="1"/>
  <c r="AM50" i="10"/>
  <c r="AM57" i="10" s="1"/>
  <c r="AN50" i="10"/>
  <c r="AN57" i="10" s="1"/>
  <c r="AO50" i="10"/>
  <c r="AO57" i="10" s="1"/>
  <c r="AP50" i="10"/>
  <c r="AP57" i="10" s="1"/>
  <c r="AQ50" i="10"/>
  <c r="AQ57" i="10" s="1"/>
  <c r="AR50" i="10"/>
  <c r="AR57" i="10" s="1"/>
  <c r="AS50" i="10"/>
  <c r="AS57" i="10" s="1"/>
  <c r="AT50" i="10"/>
  <c r="AT57" i="10" s="1"/>
  <c r="AU50" i="10"/>
  <c r="AU57" i="10" s="1"/>
  <c r="AV50" i="10"/>
  <c r="AV57" i="10" s="1"/>
  <c r="AW50" i="10"/>
  <c r="AW57" i="10" s="1"/>
  <c r="AX50" i="10"/>
  <c r="AX57" i="10" s="1"/>
  <c r="AY50" i="10"/>
  <c r="AY57" i="10" s="1"/>
  <c r="AZ50" i="10"/>
  <c r="AZ57" i="10" s="1"/>
  <c r="BA50" i="10"/>
  <c r="BA57" i="10" s="1"/>
  <c r="BB50" i="10"/>
  <c r="BB57" i="10" s="1"/>
  <c r="BC50" i="10"/>
  <c r="BC57" i="10" s="1"/>
  <c r="CE10" i="10" l="1"/>
  <c r="D51" i="10"/>
  <c r="CE7" i="10"/>
  <c r="O57" i="10"/>
  <c r="BF50" i="10" a="1"/>
  <c r="BF50" i="10" s="1"/>
  <c r="CE17" i="10" s="1"/>
  <c r="D57" i="10"/>
  <c r="CE12" i="10" s="1"/>
  <c r="CE11" i="10" l="1"/>
  <c r="CE13" i="10"/>
  <c r="E51" i="10"/>
  <c r="F51" i="10" s="1"/>
  <c r="G51" i="10" s="1"/>
  <c r="H51" i="10" s="1"/>
  <c r="I51" i="10" s="1"/>
  <c r="J51" i="10" s="1"/>
  <c r="K51" i="10" s="1"/>
  <c r="L51" i="10" s="1"/>
  <c r="M51" i="10" s="1"/>
  <c r="N51" i="10" s="1"/>
  <c r="O51" i="10" s="1"/>
  <c r="P51" i="10" s="1"/>
  <c r="Q51" i="10" s="1"/>
  <c r="R51" i="10" s="1"/>
  <c r="S51" i="10" s="1"/>
  <c r="T51" i="10" s="1"/>
  <c r="U51" i="10" s="1"/>
  <c r="V51" i="10" s="1"/>
  <c r="W51" i="10" s="1"/>
  <c r="X51" i="10" s="1"/>
  <c r="Y51" i="10" s="1"/>
  <c r="Z51" i="10" s="1"/>
  <c r="AA51" i="10" s="1"/>
  <c r="AB51" i="10" s="1"/>
  <c r="AC51" i="10" s="1"/>
  <c r="AD51" i="10" s="1"/>
  <c r="AE51" i="10" s="1"/>
  <c r="AF51" i="10" s="1"/>
  <c r="AG51" i="10" s="1"/>
  <c r="AH51" i="10" s="1"/>
  <c r="AI51" i="10" s="1"/>
  <c r="AJ51" i="10" s="1"/>
  <c r="AK51" i="10" s="1"/>
  <c r="AL51" i="10" s="1"/>
  <c r="AM51" i="10" s="1"/>
  <c r="AN51" i="10" s="1"/>
  <c r="AO51" i="10" s="1"/>
  <c r="AP51" i="10" s="1"/>
  <c r="AQ51" i="10" s="1"/>
  <c r="AR51" i="10" s="1"/>
  <c r="AS51" i="10" s="1"/>
  <c r="AT51" i="10" s="1"/>
  <c r="AU51" i="10" s="1"/>
  <c r="AV51" i="10" s="1"/>
  <c r="AW51" i="10" s="1"/>
  <c r="AX51" i="10" s="1"/>
  <c r="AY51" i="10" s="1"/>
  <c r="AZ51" i="10" s="1"/>
  <c r="BA51" i="10" s="1"/>
  <c r="BB51" i="10" s="1"/>
  <c r="BC51" i="10" s="1"/>
  <c r="BD51" i="10"/>
  <c r="CE6" i="10"/>
  <c r="BI24" i="10"/>
  <c r="BI6" i="10"/>
  <c r="BI5" i="10"/>
  <c r="BI4" i="10"/>
  <c r="BI7" i="10"/>
  <c r="BI8" i="10"/>
  <c r="BI9" i="10"/>
  <c r="BI10" i="10"/>
  <c r="BI11" i="10"/>
  <c r="BI12" i="10"/>
  <c r="BI13" i="10"/>
  <c r="BI14" i="10"/>
  <c r="BI15" i="10"/>
  <c r="BI16" i="10"/>
  <c r="BI17" i="10"/>
  <c r="BI18" i="10"/>
  <c r="BI19" i="10"/>
  <c r="BI20" i="10"/>
  <c r="BI21" i="10"/>
  <c r="BI22" i="10"/>
  <c r="BI23" i="10"/>
  <c r="BI25" i="10"/>
  <c r="BI26" i="10"/>
  <c r="BI27" i="10"/>
  <c r="BI28" i="10"/>
  <c r="BI29" i="10"/>
  <c r="BI30" i="10"/>
  <c r="BI31" i="10"/>
  <c r="BI32" i="10"/>
  <c r="BI33" i="10"/>
  <c r="BI34" i="10"/>
  <c r="BI35" i="10"/>
  <c r="BI36" i="10"/>
  <c r="BI37" i="10"/>
  <c r="BI38" i="10"/>
  <c r="BI39" i="10"/>
  <c r="BI40" i="10"/>
  <c r="BI41" i="10"/>
  <c r="BI44" i="10"/>
  <c r="BI45" i="10"/>
  <c r="BI46" i="10"/>
  <c r="BI47" i="10"/>
  <c r="BI48" i="10"/>
  <c r="BI49" i="10"/>
  <c r="BI42" i="10"/>
  <c r="BI43" i="10"/>
  <c r="CE15" i="10" l="1"/>
  <c r="CE14" i="10"/>
  <c r="BI3" i="10"/>
  <c r="CE16" i="10" l="1"/>
  <c r="BI2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<sst xmlns="http://schemas.openxmlformats.org/spreadsheetml/2006/main" count="5322" uniqueCount="2066">
  <si>
    <t>Name</t>
  </si>
  <si>
    <t>Share</t>
  </si>
  <si>
    <t>ISIN Code</t>
  </si>
  <si>
    <t>ESG Score</t>
  </si>
  <si>
    <t>ETF %</t>
  </si>
  <si>
    <t>Sector</t>
  </si>
  <si>
    <t>Sub-sector</t>
  </si>
  <si>
    <t>Is Paris Aligned?</t>
  </si>
  <si>
    <t>Percent</t>
  </si>
  <si>
    <t>Stocks</t>
  </si>
  <si>
    <t>Normalized Paris-Aligned Weight (%)</t>
  </si>
  <si>
    <t>80th Percentile of Index Weights</t>
  </si>
  <si>
    <t xml:space="preserve">80th Percentile of ESG Scores </t>
  </si>
  <si>
    <t xml:space="preserve">Avg ESG Score of Paris Aligned Index </t>
  </si>
  <si>
    <t>Avg ESG Score of the PAB Portfolio</t>
  </si>
  <si>
    <t xml:space="preserve">Portfolio </t>
  </si>
  <si>
    <t>Company</t>
  </si>
  <si>
    <t xml:space="preserve">Isin </t>
  </si>
  <si>
    <t xml:space="preserve">Country </t>
  </si>
  <si>
    <t>ETF Company Weight</t>
  </si>
  <si>
    <t xml:space="preserve">Relative Weight in Sub-Sector </t>
  </si>
  <si>
    <t>Normalized Final Weight</t>
  </si>
  <si>
    <t>Final Portfolio Weight (Rescaled to 100%)</t>
  </si>
  <si>
    <t>HHI</t>
  </si>
  <si>
    <t>Original Euro Stoxx 600 (%)</t>
  </si>
  <si>
    <t>Paris-Aligned Portfolio (%)</t>
  </si>
  <si>
    <t>Difference</t>
  </si>
  <si>
    <t>SAP SE</t>
  </si>
  <si>
    <t>SAP GR</t>
  </si>
  <si>
    <t>DE0007164600</t>
  </si>
  <si>
    <t>Technology</t>
  </si>
  <si>
    <t>Software &amp; Tech Services</t>
  </si>
  <si>
    <t>Yes</t>
  </si>
  <si>
    <t>Banking</t>
  </si>
  <si>
    <t>Financials</t>
  </si>
  <si>
    <t>Intesa Sanpaolo SpA</t>
  </si>
  <si>
    <t>ISP IM</t>
  </si>
  <si>
    <t>IT0000072618</t>
  </si>
  <si>
    <t>Italy</t>
  </si>
  <si>
    <t>ASML Holding NV</t>
  </si>
  <si>
    <t>ASML NA</t>
  </si>
  <si>
    <t>NL0010273215</t>
  </si>
  <si>
    <t>Tech Hardware &amp; Semiconductors</t>
  </si>
  <si>
    <t>Insurance</t>
  </si>
  <si>
    <t>BNP Paribas SA</t>
  </si>
  <si>
    <t>BNP FP</t>
  </si>
  <si>
    <t>FR0000131104</t>
  </si>
  <si>
    <t>France</t>
  </si>
  <si>
    <t>Industrials</t>
  </si>
  <si>
    <t>Nestle SA</t>
  </si>
  <si>
    <t>NESN SW</t>
  </si>
  <si>
    <t>CH0038863350</t>
  </si>
  <si>
    <t>Consumer Staples</t>
  </si>
  <si>
    <t>Consumer Staple Products</t>
  </si>
  <si>
    <t>Financial Services</t>
  </si>
  <si>
    <t>Banco Bilbao Vizcaya Argentaria SA</t>
  </si>
  <si>
    <t>BBVA SM</t>
  </si>
  <si>
    <t>ES0113211835</t>
  </si>
  <si>
    <t>Spain</t>
  </si>
  <si>
    <t>Health Care</t>
  </si>
  <si>
    <t>Roche Holding AG PARTICIPATION CERTIFICATES</t>
  </si>
  <si>
    <t>ROG SW</t>
  </si>
  <si>
    <t>CH0012032048</t>
  </si>
  <si>
    <t>Industrial Products</t>
  </si>
  <si>
    <t>Lloyds Banking Group PLC</t>
  </si>
  <si>
    <t>LLOY LN</t>
  </si>
  <si>
    <t>GB0008706128</t>
  </si>
  <si>
    <t>United Kingdom</t>
  </si>
  <si>
    <t>Novartis AG</t>
  </si>
  <si>
    <t>NOVN SW</t>
  </si>
  <si>
    <t>CH0012005267</t>
  </si>
  <si>
    <t>Industrial Services</t>
  </si>
  <si>
    <t>Barclays PLC</t>
  </si>
  <si>
    <t>BARC LN</t>
  </si>
  <si>
    <t>GB0031348658</t>
  </si>
  <si>
    <t>Consumer Discretionary</t>
  </si>
  <si>
    <t>Novo Nordisk A/S Class B</t>
  </si>
  <si>
    <t>NOVOB DC</t>
  </si>
  <si>
    <t>DK0062498333</t>
  </si>
  <si>
    <t>NatWest Group PLC</t>
  </si>
  <si>
    <t>NWG LN</t>
  </si>
  <si>
    <t>GB00BM8PJY71</t>
  </si>
  <si>
    <t>AstraZeneca PLC</t>
  </si>
  <si>
    <t>AZN LN</t>
  </si>
  <si>
    <t>GB0009895292</t>
  </si>
  <si>
    <t>Allianz SE</t>
  </si>
  <si>
    <t>ALV GR</t>
  </si>
  <si>
    <t>DE0008404005</t>
  </si>
  <si>
    <t>Germany</t>
  </si>
  <si>
    <t>Materials</t>
  </si>
  <si>
    <t>Standard Chartered PLC</t>
  </si>
  <si>
    <t>STAN LN</t>
  </si>
  <si>
    <t>GB0004082847</t>
  </si>
  <si>
    <t>Retail &amp; Wholesale - Staples</t>
  </si>
  <si>
    <t>Zurich Insurance Group AG</t>
  </si>
  <si>
    <t>ZURN SW</t>
  </si>
  <si>
    <t>CH0011075394</t>
  </si>
  <si>
    <t>Switzerland</t>
  </si>
  <si>
    <t>Energy</t>
  </si>
  <si>
    <t>Shell PLC</t>
  </si>
  <si>
    <t>SHELL NA</t>
  </si>
  <si>
    <t>Oil &amp; Gas</t>
  </si>
  <si>
    <t>No</t>
  </si>
  <si>
    <t>Consumer Discretionary Products</t>
  </si>
  <si>
    <t>Muenchener Rueckversicherungs-Gesellschaft AG in Muenchen REGISTERED SHARE</t>
  </si>
  <si>
    <t>MUV2 GR</t>
  </si>
  <si>
    <t>DE0008430026</t>
  </si>
  <si>
    <t>Utilities</t>
  </si>
  <si>
    <t>Siemens AG</t>
  </si>
  <si>
    <t>SIE GR</t>
  </si>
  <si>
    <t>DE0007236101</t>
  </si>
  <si>
    <t>Retail &amp; Whsle - Discretionary</t>
  </si>
  <si>
    <t>Swiss Re AG</t>
  </si>
  <si>
    <t>SREN SW</t>
  </si>
  <si>
    <t>CH0126881561</t>
  </si>
  <si>
    <t>Communications</t>
  </si>
  <si>
    <t>Unilever PLC</t>
  </si>
  <si>
    <t>ULVR LN</t>
  </si>
  <si>
    <t>GB00B10RZP78</t>
  </si>
  <si>
    <t>Consumer Discretionary Services</t>
  </si>
  <si>
    <t>Generali</t>
  </si>
  <si>
    <t>G IM</t>
  </si>
  <si>
    <t>IT0000062072</t>
  </si>
  <si>
    <t>Real Estate</t>
  </si>
  <si>
    <t>UBS Group AG</t>
  </si>
  <si>
    <t>UBSG SW</t>
  </si>
  <si>
    <t>CH0244767585</t>
  </si>
  <si>
    <t>LVMH Moet Hennessy Louis Vuitton SE LVMH</t>
  </si>
  <si>
    <t>MC FP</t>
  </si>
  <si>
    <t>FR0000121014</t>
  </si>
  <si>
    <t>London Stock Exchange Group PLC</t>
  </si>
  <si>
    <t>LSEG LN</t>
  </si>
  <si>
    <t>GB00B0SWJX34</t>
  </si>
  <si>
    <t>Schneider Electric SE</t>
  </si>
  <si>
    <t>SU FP</t>
  </si>
  <si>
    <t>FR0000121972</t>
  </si>
  <si>
    <t>Deutsche Boerse AG</t>
  </si>
  <si>
    <t>DB1 GR</t>
  </si>
  <si>
    <t>DE0005810055</t>
  </si>
  <si>
    <t>TotalEnergies SE</t>
  </si>
  <si>
    <t>TTE FP</t>
  </si>
  <si>
    <t>EXPERIAN PLC</t>
  </si>
  <si>
    <t>EXPN LN</t>
  </si>
  <si>
    <t>GB00B19NLV48</t>
  </si>
  <si>
    <t>Deutsche Telekom AG</t>
  </si>
  <si>
    <t>DTE GR</t>
  </si>
  <si>
    <t>DE0005557508</t>
  </si>
  <si>
    <t>Telecommunications</t>
  </si>
  <si>
    <t>Renewable Energy</t>
  </si>
  <si>
    <t>Sanofi SA Common</t>
  </si>
  <si>
    <t>SAN FP</t>
  </si>
  <si>
    <t>FR0000120578</t>
  </si>
  <si>
    <t>Air Liquide SA</t>
  </si>
  <si>
    <t>AI FP</t>
  </si>
  <si>
    <t>FR0000120073</t>
  </si>
  <si>
    <t>ABB Ltd</t>
  </si>
  <si>
    <t>ABBN SW</t>
  </si>
  <si>
    <t>CH0012221716</t>
  </si>
  <si>
    <t>Media</t>
  </si>
  <si>
    <t>Rheinmetall AG</t>
  </si>
  <si>
    <t>RHM GR</t>
  </si>
  <si>
    <t>DE0007030009</t>
  </si>
  <si>
    <t>Safran SA</t>
  </si>
  <si>
    <t>SAF FP</t>
  </si>
  <si>
    <t>Volvo AB B Shares</t>
  </si>
  <si>
    <t>VOLVB SS</t>
  </si>
  <si>
    <t>SE0000115446</t>
  </si>
  <si>
    <t>Sweden</t>
  </si>
  <si>
    <t>Airbus SE</t>
  </si>
  <si>
    <t>AIR FP</t>
  </si>
  <si>
    <t>Full Index (ETF based)</t>
  </si>
  <si>
    <t>Paris Aligned Index</t>
  </si>
  <si>
    <t>Legrand SA</t>
  </si>
  <si>
    <t>LR FP</t>
  </si>
  <si>
    <t>FR0010307819</t>
  </si>
  <si>
    <t>Iberdrola SA Ordinary Shares</t>
  </si>
  <si>
    <t>IBE SM</t>
  </si>
  <si>
    <t>ES0144580Y14</t>
  </si>
  <si>
    <t>RELX PLC</t>
  </si>
  <si>
    <t>REL LN</t>
  </si>
  <si>
    <t>GB00B2B0DG97</t>
  </si>
  <si>
    <t>L'Oreal SA</t>
  </si>
  <si>
    <t>OR FP</t>
  </si>
  <si>
    <t>FR0000120321</t>
  </si>
  <si>
    <t>Vinci SA</t>
  </si>
  <si>
    <t>DG FP</t>
  </si>
  <si>
    <t>FR0000125486</t>
  </si>
  <si>
    <t>Ferrovial SE</t>
  </si>
  <si>
    <t>FER SM</t>
  </si>
  <si>
    <t>NL0015001FS8</t>
  </si>
  <si>
    <t>Netherlands</t>
  </si>
  <si>
    <t>Hermes International SCA</t>
  </si>
  <si>
    <t>RMS FP</t>
  </si>
  <si>
    <t>FR0000052292</t>
  </si>
  <si>
    <t>GSK PLC</t>
  </si>
  <si>
    <t>GSK LN</t>
  </si>
  <si>
    <t>GB00BN7SWP63</t>
  </si>
  <si>
    <t>Cie Financiere Richemont SA A REGISTERED SHARES</t>
  </si>
  <si>
    <t>CFR SW</t>
  </si>
  <si>
    <t>CH0210483332</t>
  </si>
  <si>
    <t>Rolls-Royce Holdings PLC</t>
  </si>
  <si>
    <t>RR/ LN</t>
  </si>
  <si>
    <t>GB00B63H8491</t>
  </si>
  <si>
    <t>Danone SA</t>
  </si>
  <si>
    <t>BN FP</t>
  </si>
  <si>
    <t>FR0000120644</t>
  </si>
  <si>
    <t>Koninklijke Ahold Delhaize NV</t>
  </si>
  <si>
    <t>AD NA</t>
  </si>
  <si>
    <t>NL0000009538</t>
  </si>
  <si>
    <t>AXA SA AXA</t>
  </si>
  <si>
    <t>CS FP</t>
  </si>
  <si>
    <t>FR0000120628</t>
  </si>
  <si>
    <t>adidas AG</t>
  </si>
  <si>
    <t>ADS GR</t>
  </si>
  <si>
    <t>DE000A1EWWW0</t>
  </si>
  <si>
    <t>Mercedes-Benz Group AG</t>
  </si>
  <si>
    <t>MBG GR</t>
  </si>
  <si>
    <t>DE0007100000</t>
  </si>
  <si>
    <t>EssilorLuxottica SA</t>
  </si>
  <si>
    <t>EL FP</t>
  </si>
  <si>
    <t>FR0000121667</t>
  </si>
  <si>
    <t>Industria de Diseno Textil SA</t>
  </si>
  <si>
    <t>ITX SM</t>
  </si>
  <si>
    <t>ES0148396007</t>
  </si>
  <si>
    <t>Amadeus IT Group SA</t>
  </si>
  <si>
    <t>AMS SM</t>
  </si>
  <si>
    <t>ES0109067019</t>
  </si>
  <si>
    <t>Banco de Sabadell SA</t>
  </si>
  <si>
    <t>SAB SM</t>
  </si>
  <si>
    <t>ES0113860A34</t>
  </si>
  <si>
    <t>British American Tobacco PLC</t>
  </si>
  <si>
    <t>BATS LN</t>
  </si>
  <si>
    <t>Infineon Technologies AG</t>
  </si>
  <si>
    <t>IFX GR</t>
  </si>
  <si>
    <t>DE0006231004</t>
  </si>
  <si>
    <t>BP PLC</t>
  </si>
  <si>
    <t>BP/ LN</t>
  </si>
  <si>
    <t>Cie de Saint-Gobain SA ST GOBAIN</t>
  </si>
  <si>
    <t>SGO FP</t>
  </si>
  <si>
    <t>FR0000125007</t>
  </si>
  <si>
    <t>CaixaBank SA</t>
  </si>
  <si>
    <t>CABK SM</t>
  </si>
  <si>
    <t>ES0140609019</t>
  </si>
  <si>
    <t>BASF SE</t>
  </si>
  <si>
    <t>BAS GR</t>
  </si>
  <si>
    <t>DE000BASF111</t>
  </si>
  <si>
    <t>Vestas Wind Systems A/S</t>
  </si>
  <si>
    <t>VWS DC</t>
  </si>
  <si>
    <t>DK0061539921</t>
  </si>
  <si>
    <t>Denmark</t>
  </si>
  <si>
    <t>National Grid PLC Ordinary Shares</t>
  </si>
  <si>
    <t>NG/ LN</t>
  </si>
  <si>
    <t>GB00BDR05C01</t>
  </si>
  <si>
    <t>Anheuser-Busch InBev SA/NV Ordinary Shares</t>
  </si>
  <si>
    <t>ABI BB</t>
  </si>
  <si>
    <t>BE0974293251</t>
  </si>
  <si>
    <t>Enel SpA</t>
  </si>
  <si>
    <t>ENEL IM</t>
  </si>
  <si>
    <t>IT0003128367</t>
  </si>
  <si>
    <t>BAE Systems PLC</t>
  </si>
  <si>
    <t>BA/ LN</t>
  </si>
  <si>
    <t>Publicis Groupe SA</t>
  </si>
  <si>
    <t>PUB FP</t>
  </si>
  <si>
    <t>FR0000130577</t>
  </si>
  <si>
    <t>Vonovia SE Common Shares</t>
  </si>
  <si>
    <t>VNA GR</t>
  </si>
  <si>
    <t>DE000A1ML7J1</t>
  </si>
  <si>
    <t>Prosus NV N Shares</t>
  </si>
  <si>
    <t>PRX NA</t>
  </si>
  <si>
    <t>NL0013654783</t>
  </si>
  <si>
    <t>Rio Tinto PLC RIO LN Shares</t>
  </si>
  <si>
    <t>RIO LN</t>
  </si>
  <si>
    <t>GB0007188757</t>
  </si>
  <si>
    <t xml:space="preserve">Sum </t>
  </si>
  <si>
    <t>Diageo PLC</t>
  </si>
  <si>
    <t>DGE LN</t>
  </si>
  <si>
    <t>GB0002374006</t>
  </si>
  <si>
    <t>Holcim AG</t>
  </si>
  <si>
    <t>HOLN SW</t>
  </si>
  <si>
    <t>CH0012214059</t>
  </si>
  <si>
    <t>Compass Group PLC</t>
  </si>
  <si>
    <t>CPG LN</t>
  </si>
  <si>
    <t>GB00BD6K4575</t>
  </si>
  <si>
    <t>Societe Generale SA</t>
  </si>
  <si>
    <t>GLE FP</t>
  </si>
  <si>
    <t>FR0000130809</t>
  </si>
  <si>
    <t>Siemens Energy AG</t>
  </si>
  <si>
    <t>ENR GR</t>
  </si>
  <si>
    <t>DE000ENER6Y0</t>
  </si>
  <si>
    <t>Ferrari NV</t>
  </si>
  <si>
    <t>RACE IM</t>
  </si>
  <si>
    <t>NL0011585146</t>
  </si>
  <si>
    <t>Investor AB B Shares</t>
  </si>
  <si>
    <t>INVEB SS</t>
  </si>
  <si>
    <t>SE0015811963</t>
  </si>
  <si>
    <t>3i Group PLC</t>
  </si>
  <si>
    <t>III LN</t>
  </si>
  <si>
    <t>GB00B1YW4409</t>
  </si>
  <si>
    <t>Adyen NV</t>
  </si>
  <si>
    <t>ADYEN NA</t>
  </si>
  <si>
    <t>NL0012969182</t>
  </si>
  <si>
    <t>Lonza Group AG</t>
  </si>
  <si>
    <t>LONN SW</t>
  </si>
  <si>
    <t>CH0013841017</t>
  </si>
  <si>
    <t>FinecoBank Banca Fineco SpA</t>
  </si>
  <si>
    <t>FBK IM</t>
  </si>
  <si>
    <t>IT0000072170</t>
  </si>
  <si>
    <t>Alcon AG</t>
  </si>
  <si>
    <t>ALC SW</t>
  </si>
  <si>
    <t>CH0432492467</t>
  </si>
  <si>
    <t>Deutsche Bank AG</t>
  </si>
  <si>
    <t>DBK GR</t>
  </si>
  <si>
    <t>DE0005140008</t>
  </si>
  <si>
    <t>Reckitt Benckiser Group PLC</t>
  </si>
  <si>
    <t>RKT LN</t>
  </si>
  <si>
    <t>GB00B24CGK77</t>
  </si>
  <si>
    <t>Haleon PLC</t>
  </si>
  <si>
    <t>HLN LN</t>
  </si>
  <si>
    <t>GB00BMX86B70</t>
  </si>
  <si>
    <t>DSV A/S</t>
  </si>
  <si>
    <t>DSV DC</t>
  </si>
  <si>
    <t>DK0060079531</t>
  </si>
  <si>
    <t>Wolters Kluwer NV</t>
  </si>
  <si>
    <t>WKL NA</t>
  </si>
  <si>
    <t>NL0000395903</t>
  </si>
  <si>
    <t>Deutsche Post AG</t>
  </si>
  <si>
    <t>DHL GR</t>
  </si>
  <si>
    <t>DE0005552004</t>
  </si>
  <si>
    <t>BPER Banca SPA Ordinary</t>
  </si>
  <si>
    <t>BPE IM</t>
  </si>
  <si>
    <t>IT0000066123</t>
  </si>
  <si>
    <t>E.ON SE</t>
  </si>
  <si>
    <t>EOAN GR</t>
  </si>
  <si>
    <t>DE000ENAG999</t>
  </si>
  <si>
    <t>Sika AG</t>
  </si>
  <si>
    <t>SIKA SW</t>
  </si>
  <si>
    <t>CH0418792922</t>
  </si>
  <si>
    <t>Givaudan SA</t>
  </si>
  <si>
    <t>GIVN SW</t>
  </si>
  <si>
    <t>CH0010645932</t>
  </si>
  <si>
    <t>Atlas Copco AB Class A</t>
  </si>
  <si>
    <t>ATCOA SS</t>
  </si>
  <si>
    <t>SE0017486889</t>
  </si>
  <si>
    <t>Engie SA</t>
  </si>
  <si>
    <t>ENGI FP</t>
  </si>
  <si>
    <t>FR0010208488</t>
  </si>
  <si>
    <t>Argenx SE</t>
  </si>
  <si>
    <t>ARGX BB</t>
  </si>
  <si>
    <t>NL0010832176</t>
  </si>
  <si>
    <t>Glencore PLC</t>
  </si>
  <si>
    <t>GLEN LN</t>
  </si>
  <si>
    <t>Anglo American PLC</t>
  </si>
  <si>
    <t>AAL LN</t>
  </si>
  <si>
    <t>Tesco PLC</t>
  </si>
  <si>
    <t>TSCO LN</t>
  </si>
  <si>
    <t>GB00BLGZ9862</t>
  </si>
  <si>
    <t>Assa Abloy AB Class B</t>
  </si>
  <si>
    <t>ASSAB SS</t>
  </si>
  <si>
    <t>SE0007100581</t>
  </si>
  <si>
    <t>Partners Group Holding AG</t>
  </si>
  <si>
    <t>PGHN SW</t>
  </si>
  <si>
    <t>CH0024608827</t>
  </si>
  <si>
    <t>UniCredit SpA COMMON</t>
  </si>
  <si>
    <t>UCG IM</t>
  </si>
  <si>
    <t>IT0005239360</t>
  </si>
  <si>
    <t>Imperial Brands PLC</t>
  </si>
  <si>
    <t>IMB LN</t>
  </si>
  <si>
    <t>Capgemini SE</t>
  </si>
  <si>
    <t>CAP FP</t>
  </si>
  <si>
    <t>FR0000125338</t>
  </si>
  <si>
    <t>Swiss Life Holding AG</t>
  </si>
  <si>
    <t>SLHN SW</t>
  </si>
  <si>
    <t>CH0014852781</t>
  </si>
  <si>
    <t>ING Groep NV</t>
  </si>
  <si>
    <t>INGA NA</t>
  </si>
  <si>
    <t>NL0011821202</t>
  </si>
  <si>
    <t>Eni SpA</t>
  </si>
  <si>
    <t>ENI IM</t>
  </si>
  <si>
    <t>Bankinter SA</t>
  </si>
  <si>
    <t>BKT SM</t>
  </si>
  <si>
    <t>ES0113679I37</t>
  </si>
  <si>
    <t>Prudential PLC</t>
  </si>
  <si>
    <t>PRU LN</t>
  </si>
  <si>
    <t>GB0007099541</t>
  </si>
  <si>
    <t>Orange SA</t>
  </si>
  <si>
    <t>ORA FP</t>
  </si>
  <si>
    <t>FR0000133308</t>
  </si>
  <si>
    <t>Veolia Environnement SA Ordinary shares</t>
  </si>
  <si>
    <t>VIE FP</t>
  </si>
  <si>
    <t>FR0000124141</t>
  </si>
  <si>
    <t>Nokia Oyj</t>
  </si>
  <si>
    <t>NOKIA FH</t>
  </si>
  <si>
    <t>FI0009000681</t>
  </si>
  <si>
    <t>Dassault Systemes SE</t>
  </si>
  <si>
    <t>DSY FP</t>
  </si>
  <si>
    <t>FR0014004L86</t>
  </si>
  <si>
    <t>Heidelberg Materials AG</t>
  </si>
  <si>
    <t>HEI GR</t>
  </si>
  <si>
    <t>DE0006047004</t>
  </si>
  <si>
    <t>Thales SA</t>
  </si>
  <si>
    <t>HO FP</t>
  </si>
  <si>
    <t>FR0000121329</t>
  </si>
  <si>
    <t>Bayer AG</t>
  </si>
  <si>
    <t>BAYN GR</t>
  </si>
  <si>
    <t>DE000BAY0017</t>
  </si>
  <si>
    <t>Banco Comercial Portugues SA Ordinary shares</t>
  </si>
  <si>
    <t>BCP PL</t>
  </si>
  <si>
    <t>PTBCP0AM0015</t>
  </si>
  <si>
    <t>Sampo Oyj A Shares</t>
  </si>
  <si>
    <t>SAMPO FH</t>
  </si>
  <si>
    <t>FI4000552500</t>
  </si>
  <si>
    <t>Cie Generale des Etablissements Michelin SCA Shares B (Common Stock)</t>
  </si>
  <si>
    <t>ML FP</t>
  </si>
  <si>
    <t>FR001400AJ45</t>
  </si>
  <si>
    <t>Bayerische Motoren Werke AG COMMON SHR</t>
  </si>
  <si>
    <t>BMW GR</t>
  </si>
  <si>
    <t>DE0005190003</t>
  </si>
  <si>
    <t>SSE PLC</t>
  </si>
  <si>
    <t>SSE LN</t>
  </si>
  <si>
    <t>GB0007908733</t>
  </si>
  <si>
    <t>RWE AG</t>
  </si>
  <si>
    <t>RWE GR</t>
  </si>
  <si>
    <t>AIB Group PLC</t>
  </si>
  <si>
    <t>AIBG ID</t>
  </si>
  <si>
    <t>IE00BF0L3536</t>
  </si>
  <si>
    <t>Heineken NV</t>
  </si>
  <si>
    <t>HEIA NA</t>
  </si>
  <si>
    <t>NL0000009165</t>
  </si>
  <si>
    <t>Telefonaktiebolaget LM Ericsson CLASS B</t>
  </si>
  <si>
    <t>ERICB SS</t>
  </si>
  <si>
    <t>SE0000108656</t>
  </si>
  <si>
    <t>Kone Oyj B Shares</t>
  </si>
  <si>
    <t>KNEBV FH</t>
  </si>
  <si>
    <t>FI0009013403</t>
  </si>
  <si>
    <t>Ashtead Group PLC</t>
  </si>
  <si>
    <t>AHT LN</t>
  </si>
  <si>
    <t>GB0000536739</t>
  </si>
  <si>
    <t>Bank Polska Kasa Opieki SA</t>
  </si>
  <si>
    <t>PEO PW</t>
  </si>
  <si>
    <t>PLBZ00000044</t>
  </si>
  <si>
    <t>Universal Music Group NV</t>
  </si>
  <si>
    <t>UMG NA</t>
  </si>
  <si>
    <t>NL0015000IY2</t>
  </si>
  <si>
    <t>ASM International NV</t>
  </si>
  <si>
    <t>ASM NA</t>
  </si>
  <si>
    <t>Novonesis (Novozymes) B B Shares</t>
  </si>
  <si>
    <t>NSISB DC</t>
  </si>
  <si>
    <t>DK0060336014</t>
  </si>
  <si>
    <t>Sandvik AB CLASS A</t>
  </si>
  <si>
    <t>SAND SS</t>
  </si>
  <si>
    <t>SE0000667891</t>
  </si>
  <si>
    <t>Daimler Truck Holding AG</t>
  </si>
  <si>
    <t>DTG GR</t>
  </si>
  <si>
    <t>DE000DTR0CK8</t>
  </si>
  <si>
    <t>Santander Bank Polska SA</t>
  </si>
  <si>
    <t>SPL PW</t>
  </si>
  <si>
    <t>EQT AB Ordinary Shares</t>
  </si>
  <si>
    <t>EQT SS</t>
  </si>
  <si>
    <t>SE0012853455</t>
  </si>
  <si>
    <t>Volkswagen AG PREFERENCE  SHR</t>
  </si>
  <si>
    <t>VOW3 GR</t>
  </si>
  <si>
    <t>DE0007664039</t>
  </si>
  <si>
    <t>Geberit AG</t>
  </si>
  <si>
    <t>GEBN SW</t>
  </si>
  <si>
    <t>CH0030170408</t>
  </si>
  <si>
    <t>Leonardo SpA Ordinary Shares</t>
  </si>
  <si>
    <t>LDO IM</t>
  </si>
  <si>
    <t>IT0003856405</t>
  </si>
  <si>
    <t>UCB SA Ordinary Shares</t>
  </si>
  <si>
    <t>UCB BB</t>
  </si>
  <si>
    <t>BE0003739530</t>
  </si>
  <si>
    <t>Nordea Bank Abp</t>
  </si>
  <si>
    <t>NDA FH</t>
  </si>
  <si>
    <t>FI4000297767</t>
  </si>
  <si>
    <t>SpareBank 1 Sor-Norge ASA</t>
  </si>
  <si>
    <t>SB1NO NO</t>
  </si>
  <si>
    <t>NO0010631567</t>
  </si>
  <si>
    <t>Pernod Ricard SA</t>
  </si>
  <si>
    <t>RI FP</t>
  </si>
  <si>
    <t>FR0000120693</t>
  </si>
  <si>
    <t>DSM-Firmenich AG</t>
  </si>
  <si>
    <t>DSFIR NA</t>
  </si>
  <si>
    <t>CH1216478797</t>
  </si>
  <si>
    <t>Hexagon AB Class B</t>
  </si>
  <si>
    <t>HEXAB SS</t>
  </si>
  <si>
    <t>SE0015961909</t>
  </si>
  <si>
    <t>Sandoz Group AG</t>
  </si>
  <si>
    <t>SDZ SW</t>
  </si>
  <si>
    <t>CH1243598427</t>
  </si>
  <si>
    <t>Fresenius SE &amp; Co KGaA COMMON</t>
  </si>
  <si>
    <t>FRE GR</t>
  </si>
  <si>
    <t>DE0005785802</t>
  </si>
  <si>
    <t>Commerzbank AG</t>
  </si>
  <si>
    <t>CBK GR</t>
  </si>
  <si>
    <t>DE000CBK1001</t>
  </si>
  <si>
    <t>BAWAG Group AG</t>
  </si>
  <si>
    <t>BG AV</t>
  </si>
  <si>
    <t>AT0000BAWAG2</t>
  </si>
  <si>
    <t>Aviva PLC</t>
  </si>
  <si>
    <t>AV/ LN</t>
  </si>
  <si>
    <t>GB00BPQY8M80</t>
  </si>
  <si>
    <t>Equinor ASA</t>
  </si>
  <si>
    <t>EQNR NO</t>
  </si>
  <si>
    <t>Stellantis NV</t>
  </si>
  <si>
    <t>STLAM IM</t>
  </si>
  <si>
    <t>NL00150001Q9</t>
  </si>
  <si>
    <t>Telefonica SA</t>
  </si>
  <si>
    <t>TEF SM</t>
  </si>
  <si>
    <t>ES0178430E18</t>
  </si>
  <si>
    <t>MTU Aero Engines AG</t>
  </si>
  <si>
    <t>MTX GR</t>
  </si>
  <si>
    <t>DE000A0D9PT0</t>
  </si>
  <si>
    <t>Aena SME SA</t>
  </si>
  <si>
    <t>AENA SM</t>
  </si>
  <si>
    <t>ES0105046009</t>
  </si>
  <si>
    <t>Koninklijke Philips NV</t>
  </si>
  <si>
    <t>PHIA NA</t>
  </si>
  <si>
    <t>Legal &amp; General Group PLC</t>
  </si>
  <si>
    <t>LGEN LN</t>
  </si>
  <si>
    <t>GB0005603997</t>
  </si>
  <si>
    <t>Hannover Rueck SE</t>
  </si>
  <si>
    <t>HNR1 GR</t>
  </si>
  <si>
    <t>DE0008402215</t>
  </si>
  <si>
    <t>Next PLC</t>
  </si>
  <si>
    <t>NXT LN</t>
  </si>
  <si>
    <t>GB0032089863</t>
  </si>
  <si>
    <t>Vodafone Group PLC</t>
  </si>
  <si>
    <t>VOD LN</t>
  </si>
  <si>
    <t>GB00BH4HKS39</t>
  </si>
  <si>
    <t>Prysmian SpA</t>
  </si>
  <si>
    <t>PRY IM</t>
  </si>
  <si>
    <t>IT0004176001</t>
  </si>
  <si>
    <t>Cellnex Telecom SA Ordinary Shares</t>
  </si>
  <si>
    <t>CLNX SM</t>
  </si>
  <si>
    <t>ES0105066007</t>
  </si>
  <si>
    <t>Merck KGaA COMMON SHARE</t>
  </si>
  <si>
    <t>MRK GR</t>
  </si>
  <si>
    <t>DE0006599905</t>
  </si>
  <si>
    <t>Banca Monte dei Paschi di Siena SpA Common Shares</t>
  </si>
  <si>
    <t>BMPS IM</t>
  </si>
  <si>
    <t>IT0005508921</t>
  </si>
  <si>
    <t>Kerry Group PLC</t>
  </si>
  <si>
    <t>KYGA ID</t>
  </si>
  <si>
    <t>IE0004906560</t>
  </si>
  <si>
    <t>InterContinental Hotels Group PLC</t>
  </si>
  <si>
    <t>IHG LN</t>
  </si>
  <si>
    <t>GB00BHJYC057</t>
  </si>
  <si>
    <t>Koninklijke KPN NV</t>
  </si>
  <si>
    <t>KPN NA</t>
  </si>
  <si>
    <t>Sage Group PLC/The</t>
  </si>
  <si>
    <t>SGE LN</t>
  </si>
  <si>
    <t>GB00B8C3BL03</t>
  </si>
  <si>
    <t>STMicroelectronics NV</t>
  </si>
  <si>
    <t>STMMI IM</t>
  </si>
  <si>
    <t>NL0000226223</t>
  </si>
  <si>
    <t>Siemens Healthineers AG</t>
  </si>
  <si>
    <t>SHL GR</t>
  </si>
  <si>
    <t>DE000SHL1006</t>
  </si>
  <si>
    <t>Swedbank AB</t>
  </si>
  <si>
    <t>SWEDA SS</t>
  </si>
  <si>
    <t>SE0000242455</t>
  </si>
  <si>
    <t>Swisscom AG</t>
  </si>
  <si>
    <t>SCMN SW</t>
  </si>
  <si>
    <t>Schindler Holding AG BEARER PART CERTIF.</t>
  </si>
  <si>
    <t>SCHP SW</t>
  </si>
  <si>
    <t>CH0024638196</t>
  </si>
  <si>
    <t>Saab AB CLASS B</t>
  </si>
  <si>
    <t>SAABB SS</t>
  </si>
  <si>
    <t>SE0021921269</t>
  </si>
  <si>
    <t>SGS SA</t>
  </si>
  <si>
    <t>SGSN SW</t>
  </si>
  <si>
    <t>CH1256740924</t>
  </si>
  <si>
    <t>Straumann Holding AG</t>
  </si>
  <si>
    <t>STMN SW</t>
  </si>
  <si>
    <t>CH1175448666</t>
  </si>
  <si>
    <t>Sonova Holding AG</t>
  </si>
  <si>
    <t>SOON SW</t>
  </si>
  <si>
    <t>CH0012549785</t>
  </si>
  <si>
    <t>Coloplast A/S Class B</t>
  </si>
  <si>
    <t>COLOB DC</t>
  </si>
  <si>
    <t>DK0060448595</t>
  </si>
  <si>
    <t>NN Group NV</t>
  </si>
  <si>
    <t>NN NA</t>
  </si>
  <si>
    <t>NL0010773842</t>
  </si>
  <si>
    <t>Banco Santander SA</t>
  </si>
  <si>
    <t>SAN SM</t>
  </si>
  <si>
    <t>IT0005218380</t>
  </si>
  <si>
    <t>Essity AB Class B</t>
  </si>
  <si>
    <t>ESSITYB SS</t>
  </si>
  <si>
    <t>SE0009922164</t>
  </si>
  <si>
    <t>BT Group PLC</t>
  </si>
  <si>
    <t>BT/A LN</t>
  </si>
  <si>
    <t>GB0030913577</t>
  </si>
  <si>
    <t>Terna - Rete Elettrica Nazionale</t>
  </si>
  <si>
    <t>TRN IM</t>
  </si>
  <si>
    <t>IT0003242622</t>
  </si>
  <si>
    <t>UPM-Kymmene Oyj</t>
  </si>
  <si>
    <t>UPM FH</t>
  </si>
  <si>
    <t>FI0009005987</t>
  </si>
  <si>
    <t>Symrise AG</t>
  </si>
  <si>
    <t>SY1 GR</t>
  </si>
  <si>
    <t>DE000SYM9999</t>
  </si>
  <si>
    <t>Kingspan Group PLC</t>
  </si>
  <si>
    <t>KSP ID</t>
  </si>
  <si>
    <t>IE0004927939</t>
  </si>
  <si>
    <t>Ryanair Holdings PLC</t>
  </si>
  <si>
    <t>RYA ID</t>
  </si>
  <si>
    <t>IE00BYTBXV33</t>
  </si>
  <si>
    <t>Kongsberg Gruppen ASA</t>
  </si>
  <si>
    <t>KOG NO</t>
  </si>
  <si>
    <t>NO0003043309</t>
  </si>
  <si>
    <t>Halma PLC</t>
  </si>
  <si>
    <t>HLMA LN</t>
  </si>
  <si>
    <t>GB0004052071</t>
  </si>
  <si>
    <t>Epiroc AB Class A Common Shares</t>
  </si>
  <si>
    <t>EPIA SS</t>
  </si>
  <si>
    <t>SE0015658109</t>
  </si>
  <si>
    <t>Genmab A/S</t>
  </si>
  <si>
    <t>GMAB DC</t>
  </si>
  <si>
    <t>DK0010272202</t>
  </si>
  <si>
    <t>Julius Baer Group Ltd</t>
  </si>
  <si>
    <t>BAER SW</t>
  </si>
  <si>
    <t>CH0102484968</t>
  </si>
  <si>
    <t>Euronext NV</t>
  </si>
  <si>
    <t>ENX FP</t>
  </si>
  <si>
    <t>NL0006294274</t>
  </si>
  <si>
    <t>Banco BPM SpA</t>
  </si>
  <si>
    <t>BAMI IM</t>
  </si>
  <si>
    <t>Repsol SA Ordinary Shares</t>
  </si>
  <si>
    <t>REP SM</t>
  </si>
  <si>
    <t>Chocoladefabriken Lindt &amp; Spruengli AG PARTICIPATION CERTIFICATES</t>
  </si>
  <si>
    <t>LISP SW</t>
  </si>
  <si>
    <t>CH0010570767</t>
  </si>
  <si>
    <t>Moncler SpA</t>
  </si>
  <si>
    <t>MONC IM</t>
  </si>
  <si>
    <t>IT0004965148</t>
  </si>
  <si>
    <t>Kering SA</t>
  </si>
  <si>
    <t>KER FP</t>
  </si>
  <si>
    <t>FR0000121485</t>
  </si>
  <si>
    <t>Informa PLC</t>
  </si>
  <si>
    <t>INF LN</t>
  </si>
  <si>
    <t>GB00BMJ6DW54</t>
  </si>
  <si>
    <t>ArcelorMittal SA</t>
  </si>
  <si>
    <t>MT NA</t>
  </si>
  <si>
    <t>LU1598757687</t>
  </si>
  <si>
    <t>Eiffage SA</t>
  </si>
  <si>
    <t>FGR FP</t>
  </si>
  <si>
    <t>FR0000130452</t>
  </si>
  <si>
    <t>Raiffeisen Bank International AG</t>
  </si>
  <si>
    <t>RBI AV</t>
  </si>
  <si>
    <t>AT0000606306</t>
  </si>
  <si>
    <t>Henkel AG &amp; Co KGaA PREFERENCE SHARE</t>
  </si>
  <si>
    <t>HEN3 GR</t>
  </si>
  <si>
    <t>DE0006048432</t>
  </si>
  <si>
    <t>Carlsberg AS Class B</t>
  </si>
  <si>
    <t>CARLB DC</t>
  </si>
  <si>
    <t>DK0010181759</t>
  </si>
  <si>
    <t>Beiersdorf AG</t>
  </si>
  <si>
    <t>BEI GR</t>
  </si>
  <si>
    <t>DE0005200000</t>
  </si>
  <si>
    <t>Pandora A/S</t>
  </si>
  <si>
    <t>PNDORA DC</t>
  </si>
  <si>
    <t>DK0060252690</t>
  </si>
  <si>
    <t>Snam SpA</t>
  </si>
  <si>
    <t>SRG IM</t>
  </si>
  <si>
    <t>IT0003153415</t>
  </si>
  <si>
    <t>Logitech International SA</t>
  </si>
  <si>
    <t>LOGN SW</t>
  </si>
  <si>
    <t>CH0025751329</t>
  </si>
  <si>
    <t>Swiss Prime Site AG SWISS PRIME-REG</t>
  </si>
  <si>
    <t>SPSN SW</t>
  </si>
  <si>
    <t>CH0008038389</t>
  </si>
  <si>
    <t>Akzo Nobel NV Common</t>
  </si>
  <si>
    <t>AKZA NA</t>
  </si>
  <si>
    <t>NL0013267909</t>
  </si>
  <si>
    <t>Rentokil Initial PLC</t>
  </si>
  <si>
    <t>RTO LN</t>
  </si>
  <si>
    <t>GB00B082RF11</t>
  </si>
  <si>
    <t>Kuehne + Nagel International AG</t>
  </si>
  <si>
    <t>KNIN SW</t>
  </si>
  <si>
    <t>CH0025238863</t>
  </si>
  <si>
    <t>Bouygues SA Bouygues</t>
  </si>
  <si>
    <t>EN FP</t>
  </si>
  <si>
    <t>FR0000120503</t>
  </si>
  <si>
    <t>Alfa Laval AB</t>
  </si>
  <si>
    <t>ALFA SS</t>
  </si>
  <si>
    <t>SE0000695876</t>
  </si>
  <si>
    <t>ACS Actividades de Construccion y Servicios SA Ordinary Shares</t>
  </si>
  <si>
    <t>ACS SM</t>
  </si>
  <si>
    <t>ES0167050915</t>
  </si>
  <si>
    <t>Smith &amp; Nephew PLC</t>
  </si>
  <si>
    <t>SN/ LN</t>
  </si>
  <si>
    <t>GB0009223206</t>
  </si>
  <si>
    <t>Fresenius Medical Care AG</t>
  </si>
  <si>
    <t>FME GR</t>
  </si>
  <si>
    <t>DE0005785604</t>
  </si>
  <si>
    <t>Erste Group Bank AG</t>
  </si>
  <si>
    <t>EBS AV</t>
  </si>
  <si>
    <t>AT0000652011</t>
  </si>
  <si>
    <t>Banca Mediolanum SpA</t>
  </si>
  <si>
    <t>BMED IM</t>
  </si>
  <si>
    <t>IT0004776628</t>
  </si>
  <si>
    <t>Ageas SA/NV</t>
  </si>
  <si>
    <t>AGS BB</t>
  </si>
  <si>
    <t>BE0974264930</t>
  </si>
  <si>
    <t>Admiral Group PLC</t>
  </si>
  <si>
    <t>ADM LN</t>
  </si>
  <si>
    <t>GB00B02J6398</t>
  </si>
  <si>
    <t>HSBC Holdings PLC</t>
  </si>
  <si>
    <t>HSBA LN</t>
  </si>
  <si>
    <t>GB0005405286</t>
  </si>
  <si>
    <t>ORLEN SA</t>
  </si>
  <si>
    <t>PKN PW</t>
  </si>
  <si>
    <t>PLPKN0000018</t>
  </si>
  <si>
    <t>Renault SA</t>
  </si>
  <si>
    <t>RNO FP</t>
  </si>
  <si>
    <t>FR0000131906</t>
  </si>
  <si>
    <t>Evolution AB</t>
  </si>
  <si>
    <t>EVO SS</t>
  </si>
  <si>
    <t>SE0012673267</t>
  </si>
  <si>
    <t>Bunzl PLC</t>
  </si>
  <si>
    <t>BNZL LN</t>
  </si>
  <si>
    <t>GB00B0744B38</t>
  </si>
  <si>
    <t>Auto Trader Group PLC</t>
  </si>
  <si>
    <t>AUTO LN</t>
  </si>
  <si>
    <t>GB00BVYVFW23</t>
  </si>
  <si>
    <t>United Utilities Group PLC</t>
  </si>
  <si>
    <t>UU/ LN</t>
  </si>
  <si>
    <t>GB00B39J2M42</t>
  </si>
  <si>
    <t>Endesa SA</t>
  </si>
  <si>
    <t>ELE SM</t>
  </si>
  <si>
    <t>ES0130670112</t>
  </si>
  <si>
    <t>EDP SA Ordinary Shares</t>
  </si>
  <si>
    <t>EDP PL</t>
  </si>
  <si>
    <t>PTEDP0AM0009</t>
  </si>
  <si>
    <t>Centrica PLC</t>
  </si>
  <si>
    <t>CNA LN</t>
  </si>
  <si>
    <t>GB00B033F229</t>
  </si>
  <si>
    <t>BE Semiconductor Industries NV</t>
  </si>
  <si>
    <t>BESI NA</t>
  </si>
  <si>
    <t>NL0012866412</t>
  </si>
  <si>
    <t>Segro PLC</t>
  </si>
  <si>
    <t>SGRO LN</t>
  </si>
  <si>
    <t>GB00B5ZN1N88</t>
  </si>
  <si>
    <t>VAT Group AG</t>
  </si>
  <si>
    <t>VACN SW</t>
  </si>
  <si>
    <t>CH0311864901</t>
  </si>
  <si>
    <t>Poste Italiane SpA</t>
  </si>
  <si>
    <t>PST IM</t>
  </si>
  <si>
    <t>IT0003796171</t>
  </si>
  <si>
    <t>Intertek Group PLC</t>
  </si>
  <si>
    <t>ITRK LN</t>
  </si>
  <si>
    <t>GB0031638363</t>
  </si>
  <si>
    <t>International Consolidated Airlines Group SA Ordinary shares</t>
  </si>
  <si>
    <t>IAG LN</t>
  </si>
  <si>
    <t>ES0177542018</t>
  </si>
  <si>
    <t>GEA Group AG</t>
  </si>
  <si>
    <t>G1A GR</t>
  </si>
  <si>
    <t>DE0006602006</t>
  </si>
  <si>
    <t>Bureau Veritas SA</t>
  </si>
  <si>
    <t>BVI FP</t>
  </si>
  <si>
    <t>FR0006174348</t>
  </si>
  <si>
    <t>Galderma Group AG</t>
  </si>
  <si>
    <t>GALD SW</t>
  </si>
  <si>
    <t>No Data</t>
  </si>
  <si>
    <t>Wise PLC Class A</t>
  </si>
  <si>
    <t>WISE LN</t>
  </si>
  <si>
    <t>GB00BL9YR756</t>
  </si>
  <si>
    <t>Powszechny Zaklad Ubezpieczen SA</t>
  </si>
  <si>
    <t>PZU PW</t>
  </si>
  <si>
    <t>PLPZU0000011</t>
  </si>
  <si>
    <t>Baloise Holding AG</t>
  </si>
  <si>
    <t>BALN SW</t>
  </si>
  <si>
    <t>SE0018012635</t>
  </si>
  <si>
    <t>Marks &amp; Spencer Group PLC Ordinary Shares</t>
  </si>
  <si>
    <t>MKS LN</t>
  </si>
  <si>
    <t>GB0031274896</t>
  </si>
  <si>
    <t>Coca-Cola HBC AG</t>
  </si>
  <si>
    <t>CCH LN</t>
  </si>
  <si>
    <t>CH0198251305</t>
  </si>
  <si>
    <t>Accor SA</t>
  </si>
  <si>
    <t>AC FP</t>
  </si>
  <si>
    <t>FR0000120404</t>
  </si>
  <si>
    <t>Pearson PLC</t>
  </si>
  <si>
    <t>PSON LN</t>
  </si>
  <si>
    <t>GB0006776081</t>
  </si>
  <si>
    <t>Severn Trent PLC</t>
  </si>
  <si>
    <t>SVT LN</t>
  </si>
  <si>
    <t>GB00B1FH8J72</t>
  </si>
  <si>
    <t>Unibail-Rodamco-Westfield Common Shares</t>
  </si>
  <si>
    <t>URW FP</t>
  </si>
  <si>
    <t>FR0013326246</t>
  </si>
  <si>
    <t>Klepierre SA</t>
  </si>
  <si>
    <t>LI FP</t>
  </si>
  <si>
    <t>FR0000121964</t>
  </si>
  <si>
    <t>Brenntag SE</t>
  </si>
  <si>
    <t>BNR GR</t>
  </si>
  <si>
    <t>DE000A1DAHH0</t>
  </si>
  <si>
    <t>Boliden AB</t>
  </si>
  <si>
    <t>BOL SS</t>
  </si>
  <si>
    <t>SE0020050417</t>
  </si>
  <si>
    <t>Antofagasta PLC</t>
  </si>
  <si>
    <t>ANTO LN</t>
  </si>
  <si>
    <t>GB0000456144</t>
  </si>
  <si>
    <t>Wartsila OYJ Abp</t>
  </si>
  <si>
    <t>WRT1V FH</t>
  </si>
  <si>
    <t>FI0009003727</t>
  </si>
  <si>
    <t>Smiths Group PLC</t>
  </si>
  <si>
    <t>SMIN LN</t>
  </si>
  <si>
    <t>GB00B1WY2338</t>
  </si>
  <si>
    <t>Belimo Holding AG</t>
  </si>
  <si>
    <t>BEAN SW</t>
  </si>
  <si>
    <t>CH1101098163</t>
  </si>
  <si>
    <t>Alstom SA Common</t>
  </si>
  <si>
    <t>ALO FP</t>
  </si>
  <si>
    <t>FR0010220475</t>
  </si>
  <si>
    <t>AddTech AB Class B</t>
  </si>
  <si>
    <t>ADDTB SS</t>
  </si>
  <si>
    <t>SE0014781795</t>
  </si>
  <si>
    <t>QIAGEN NV</t>
  </si>
  <si>
    <t>QIA GR</t>
  </si>
  <si>
    <t>NL0015002CX3</t>
  </si>
  <si>
    <t>Lifco AB Class B</t>
  </si>
  <si>
    <t>LIFCOB SS</t>
  </si>
  <si>
    <t>SE0015949201</t>
  </si>
  <si>
    <t>EXOR NV Ordinary Shares</t>
  </si>
  <si>
    <t>EXO NA</t>
  </si>
  <si>
    <t>NL0012059018</t>
  </si>
  <si>
    <t>ABN AMRO Bank NV - Depositary Receipt</t>
  </si>
  <si>
    <t>ABN NA</t>
  </si>
  <si>
    <t>NL0011540547</t>
  </si>
  <si>
    <t>Danske Bank A/S</t>
  </si>
  <si>
    <t>DANSKE DC</t>
  </si>
  <si>
    <t>DK0010274414</t>
  </si>
  <si>
    <t>Banque Cantonale Vaudoise</t>
  </si>
  <si>
    <t>BCVN SW</t>
  </si>
  <si>
    <t>CH0531751755</t>
  </si>
  <si>
    <t>Aegon Ltd Common Shares</t>
  </si>
  <si>
    <t>AGN NA</t>
  </si>
  <si>
    <t>BMG0112X1056</t>
  </si>
  <si>
    <t>ASR Nederland NV</t>
  </si>
  <si>
    <t>ASRNL NA</t>
  </si>
  <si>
    <t>NL0011872643</t>
  </si>
  <si>
    <t>Orkla ASA</t>
  </si>
  <si>
    <t>ORK NO</t>
  </si>
  <si>
    <t>NO0003733800</t>
  </si>
  <si>
    <t>Heineken Holding NV Common A Class</t>
  </si>
  <si>
    <t>HEIO NA</t>
  </si>
  <si>
    <t>NL0000008977</t>
  </si>
  <si>
    <t>Carrefour SA</t>
  </si>
  <si>
    <t>CA FP</t>
  </si>
  <si>
    <t>FR0000120172</t>
  </si>
  <si>
    <t>Zalando SE</t>
  </si>
  <si>
    <t>ZAL GR</t>
  </si>
  <si>
    <t>DE000ZAL1111</t>
  </si>
  <si>
    <t>Continental AG</t>
  </si>
  <si>
    <t>CON GR</t>
  </si>
  <si>
    <t xml:space="preserve">DE0005439004	</t>
  </si>
  <si>
    <t>Barratt Redrow PLC</t>
  </si>
  <si>
    <t>BTRW LN</t>
  </si>
  <si>
    <t>GB0000811801</t>
  </si>
  <si>
    <t>Associated British Foods PLC</t>
  </si>
  <si>
    <t>ABF LN</t>
  </si>
  <si>
    <t>GB0006731235</t>
  </si>
  <si>
    <t>Scout24 SE</t>
  </si>
  <si>
    <t>G24 GR</t>
  </si>
  <si>
    <t>DE000A12DM80</t>
  </si>
  <si>
    <t>Telenor ASA</t>
  </si>
  <si>
    <t>TEL NO</t>
  </si>
  <si>
    <t>NO0010063308</t>
  </si>
  <si>
    <t>Telia Co AB</t>
  </si>
  <si>
    <t>TELIA SS</t>
  </si>
  <si>
    <t>SE0000667925</t>
  </si>
  <si>
    <t>WPP PLC</t>
  </si>
  <si>
    <t>WPP LN</t>
  </si>
  <si>
    <t>JE00B8KF9B49</t>
  </si>
  <si>
    <t>Elisa Oyj</t>
  </si>
  <si>
    <t>ELISA FH</t>
  </si>
  <si>
    <t>FI0009007884</t>
  </si>
  <si>
    <t>Fortum Oyj</t>
  </si>
  <si>
    <t>FORTUM FH</t>
  </si>
  <si>
    <t>Nemetschek SE</t>
  </si>
  <si>
    <t>NEM GR</t>
  </si>
  <si>
    <t>DE0006452907</t>
  </si>
  <si>
    <t>PSP Swiss Property AG</t>
  </si>
  <si>
    <t>PSPN SW</t>
  </si>
  <si>
    <t>CH0018294154</t>
  </si>
  <si>
    <t>Svenska Cellulosa AB SCA Class B</t>
  </si>
  <si>
    <t>SCAB SS</t>
  </si>
  <si>
    <t>SE0000112724</t>
  </si>
  <si>
    <t>Norsk Hydro ASA</t>
  </si>
  <si>
    <t>NHY NO</t>
  </si>
  <si>
    <t>NO0005052605</t>
  </si>
  <si>
    <t>IMCD NV</t>
  </si>
  <si>
    <t>IMCD NA</t>
  </si>
  <si>
    <t>NL0010801007</t>
  </si>
  <si>
    <t>Weir Group PLC/The</t>
  </si>
  <si>
    <t>WEIR LN</t>
  </si>
  <si>
    <t>GB0009465807</t>
  </si>
  <si>
    <t>Trelleborg AB Class B</t>
  </si>
  <si>
    <t>TRELB SS</t>
  </si>
  <si>
    <t>SE0000114837</t>
  </si>
  <si>
    <t>Skanska AB B Shares</t>
  </si>
  <si>
    <t>SKAB SS</t>
  </si>
  <si>
    <t>SE0000113250</t>
  </si>
  <si>
    <t>Securitas AB Class B</t>
  </si>
  <si>
    <t>SECUB SS</t>
  </si>
  <si>
    <t>SE0000163594</t>
  </si>
  <si>
    <t>SPIE SA</t>
  </si>
  <si>
    <t>SPIE FP</t>
  </si>
  <si>
    <t>FR0012757854</t>
  </si>
  <si>
    <t>SKF AB Class B</t>
  </si>
  <si>
    <t>SKFB SS</t>
  </si>
  <si>
    <t>Metso Oyj</t>
  </si>
  <si>
    <t>METSO FH</t>
  </si>
  <si>
    <t>FI0009014575</t>
  </si>
  <si>
    <t>Melrose Industries PLC</t>
  </si>
  <si>
    <t>MRO LN</t>
  </si>
  <si>
    <t>GB00BNGDN821</t>
  </si>
  <si>
    <t>Indutrade AB</t>
  </si>
  <si>
    <t>INDT SS</t>
  </si>
  <si>
    <t>SE0001515552</t>
  </si>
  <si>
    <t>Eurofins Scientific SE</t>
  </si>
  <si>
    <t>ERF FP</t>
  </si>
  <si>
    <t>FR0014000MR3</t>
  </si>
  <si>
    <t>Diploma PLC</t>
  </si>
  <si>
    <t>DPLM LN</t>
  </si>
  <si>
    <t>GB0001826634</t>
  </si>
  <si>
    <t>AP Moller - Maersk A/S Class B</t>
  </si>
  <si>
    <t>MAERSKB DC</t>
  </si>
  <si>
    <t>DK0010244508</t>
  </si>
  <si>
    <t>Swedish Orphan Biovitrum AB Common Shares</t>
  </si>
  <si>
    <t>SOBI SS</t>
  </si>
  <si>
    <t>SE0000872095</t>
  </si>
  <si>
    <t>Unipol Assicurazioni SpA</t>
  </si>
  <si>
    <t>UNI IM</t>
  </si>
  <si>
    <t>IT0004810054</t>
  </si>
  <si>
    <t>Tryg A/S Common Shares</t>
  </si>
  <si>
    <t>TRYG DC</t>
  </si>
  <si>
    <t>DK0060636678</t>
  </si>
  <si>
    <t>St James's Place PLC</t>
  </si>
  <si>
    <t>STJ LN</t>
  </si>
  <si>
    <t>GB0007669376</t>
  </si>
  <si>
    <t>Intermediate Capital Group PLC</t>
  </si>
  <si>
    <t>ICG LN</t>
  </si>
  <si>
    <t>GB00BYT1DJ19</t>
  </si>
  <si>
    <t>Helvetia Holding AG</t>
  </si>
  <si>
    <t>HELN SW</t>
  </si>
  <si>
    <t>CH0466642201</t>
  </si>
  <si>
    <t>Edenred SE</t>
  </si>
  <si>
    <t>EDEN FP</t>
  </si>
  <si>
    <t>FR0010908533</t>
  </si>
  <si>
    <t>Beazley PLC</t>
  </si>
  <si>
    <t>BEZ LN</t>
  </si>
  <si>
    <t>GB00BYQ0JC66</t>
  </si>
  <si>
    <t>Investec PLC INVP LN Common</t>
  </si>
  <si>
    <t>INVP LN</t>
  </si>
  <si>
    <t>GB00B17BBQ50</t>
  </si>
  <si>
    <t>Powszechna Kasa Oszczednosci Bank Polski SA</t>
  </si>
  <si>
    <t>PKO PW</t>
  </si>
  <si>
    <t>PLPKO0000016</t>
  </si>
  <si>
    <t>OMV AG</t>
  </si>
  <si>
    <t>OMV AV</t>
  </si>
  <si>
    <t>Mowi ASA</t>
  </si>
  <si>
    <t>MOWI NO</t>
  </si>
  <si>
    <t>NO0003054108</t>
  </si>
  <si>
    <t>Jeronimo Martins SGPS SA</t>
  </si>
  <si>
    <t>JMT PL</t>
  </si>
  <si>
    <t>PTJMT0AE0001</t>
  </si>
  <si>
    <t>Dino Polska SA</t>
  </si>
  <si>
    <t>DNP PW</t>
  </si>
  <si>
    <t>PLDINPL00011</t>
  </si>
  <si>
    <t>Kingfisher PLC</t>
  </si>
  <si>
    <t>KGF LN</t>
  </si>
  <si>
    <t>GB0033195214</t>
  </si>
  <si>
    <t>H &amp; M Hennes &amp; Mauritz AB Class B</t>
  </si>
  <si>
    <t>HMB SS</t>
  </si>
  <si>
    <t>SE0000106270</t>
  </si>
  <si>
    <t>Games Workshop Group PLC</t>
  </si>
  <si>
    <t>GAW LN</t>
  </si>
  <si>
    <t>GB0003718474</t>
  </si>
  <si>
    <t>CTS Eventim AG &amp; Co KGaA</t>
  </si>
  <si>
    <t>EVD GR</t>
  </si>
  <si>
    <t>DE0005470306</t>
  </si>
  <si>
    <t>Rightmove PLC</t>
  </si>
  <si>
    <t>RMV LN</t>
  </si>
  <si>
    <t>GB00BGDT3G23</t>
  </si>
  <si>
    <t>Tele2 AB Class B</t>
  </si>
  <si>
    <t>TEL2B SS</t>
  </si>
  <si>
    <t>SE0005190238</t>
  </si>
  <si>
    <t>Delivery Hero SE</t>
  </si>
  <si>
    <t>DHER GR</t>
  </si>
  <si>
    <t>DE000A2E4K43</t>
  </si>
  <si>
    <t>Redeia Corp SA</t>
  </si>
  <si>
    <t>RED SM</t>
  </si>
  <si>
    <t>ES0173093024</t>
  </si>
  <si>
    <t>Teleperformance SE</t>
  </si>
  <si>
    <t>TEP FP</t>
  </si>
  <si>
    <t>FR0000051807</t>
  </si>
  <si>
    <t>Land Securities Group PLC</t>
  </si>
  <si>
    <t>LAND LN</t>
  </si>
  <si>
    <t>GB00BYW0PQ60</t>
  </si>
  <si>
    <t>LEG Immobilien SE</t>
  </si>
  <si>
    <t>LEG GR</t>
  </si>
  <si>
    <t>DE000LEG1110</t>
  </si>
  <si>
    <t>Tenaris SA</t>
  </si>
  <si>
    <t>TEN IM</t>
  </si>
  <si>
    <t>LU2598331598</t>
  </si>
  <si>
    <t>Stora Enso Oyj R Shares</t>
  </si>
  <si>
    <t>STERV FH</t>
  </si>
  <si>
    <t>FI0009005961</t>
  </si>
  <si>
    <t>SIG Group AG</t>
  </si>
  <si>
    <t>SIGN SW</t>
  </si>
  <si>
    <t>CH0435377954</t>
  </si>
  <si>
    <t>Mondi PLC Mondi Plc</t>
  </si>
  <si>
    <t>MNDI LN</t>
  </si>
  <si>
    <t>GB00BMWC6P49</t>
  </si>
  <si>
    <t>Spirax Group PLC</t>
  </si>
  <si>
    <t>SPX LN</t>
  </si>
  <si>
    <t>GB00BWFGQN14</t>
  </si>
  <si>
    <t>Rexel SA</t>
  </si>
  <si>
    <t>RXL FP</t>
  </si>
  <si>
    <t>FR0010451203</t>
  </si>
  <si>
    <t>Nibe Industrier AB B Shares</t>
  </si>
  <si>
    <t>NIBEB SS</t>
  </si>
  <si>
    <t>SE0015988019</t>
  </si>
  <si>
    <t>Knorr-Bremse AG</t>
  </si>
  <si>
    <t>KBX GR</t>
  </si>
  <si>
    <t>DE000KBX1006</t>
  </si>
  <si>
    <t>IMI PLC</t>
  </si>
  <si>
    <t>IMI LN</t>
  </si>
  <si>
    <t>GB00BGLP8L22</t>
  </si>
  <si>
    <t>Getlink SE</t>
  </si>
  <si>
    <t>GET FP</t>
  </si>
  <si>
    <t>FR0010533075</t>
  </si>
  <si>
    <t>Dassault Aviation SA</t>
  </si>
  <si>
    <t>AM FP</t>
  </si>
  <si>
    <t>Sartorius Stedim Biotech</t>
  </si>
  <si>
    <t>DIM FP</t>
  </si>
  <si>
    <t>FR0013154002</t>
  </si>
  <si>
    <t>Sartorius AG PREFERRED SHARES</t>
  </si>
  <si>
    <t>SRT3 GR</t>
  </si>
  <si>
    <t>DE0007165631</t>
  </si>
  <si>
    <t>Recordati Industria Chimica e Farmaceutica SpA COMMON</t>
  </si>
  <si>
    <t>REC IM</t>
  </si>
  <si>
    <t>IT0003828271</t>
  </si>
  <si>
    <t>Orion Oyj B Shares</t>
  </si>
  <si>
    <t>ORNBV FH</t>
  </si>
  <si>
    <t>FI0009014377</t>
  </si>
  <si>
    <t>ConvaTec Group PLC</t>
  </si>
  <si>
    <t>CTEC LN</t>
  </si>
  <si>
    <t>GB00BD3VFW73</t>
  </si>
  <si>
    <t>BioMerieux</t>
  </si>
  <si>
    <t>BIM FP</t>
  </si>
  <si>
    <t>FR0013280286</t>
  </si>
  <si>
    <t>Talanx AG</t>
  </si>
  <si>
    <t>TLX GR</t>
  </si>
  <si>
    <t>DE000TLX1005</t>
  </si>
  <si>
    <t>Swissquote Group Holding SA</t>
  </si>
  <si>
    <t>SQN SW</t>
  </si>
  <si>
    <t>CH0010675863</t>
  </si>
  <si>
    <t>Phoenix Group Holdings PLC</t>
  </si>
  <si>
    <t>PHNX LN</t>
  </si>
  <si>
    <t>GB00BGXQNP29</t>
  </si>
  <si>
    <t>M&amp;G PLC</t>
  </si>
  <si>
    <t>MNG LN</t>
  </si>
  <si>
    <t>GB00BKFB1C65</t>
  </si>
  <si>
    <t>Industrivarden AB Class C</t>
  </si>
  <si>
    <t>INDUC SS</t>
  </si>
  <si>
    <t>Groupe Bruxelles Lambert NV</t>
  </si>
  <si>
    <t>GBLB BB</t>
  </si>
  <si>
    <t>BE0003797140</t>
  </si>
  <si>
    <t>Svenska Handelsbanken AB Class A</t>
  </si>
  <si>
    <t>SHBA SS</t>
  </si>
  <si>
    <t>SE0007100599</t>
  </si>
  <si>
    <t>Galp Energia SGPS SA</t>
  </si>
  <si>
    <t>GALP PL</t>
  </si>
  <si>
    <t>DCC PLC</t>
  </si>
  <si>
    <t>DCC LN</t>
  </si>
  <si>
    <t>IE0002424939</t>
  </si>
  <si>
    <t>Aker BP ASA</t>
  </si>
  <si>
    <t>AKRBP NO</t>
  </si>
  <si>
    <t>NO0010345853</t>
  </si>
  <si>
    <t>Kesko Oyj B Shares</t>
  </si>
  <si>
    <t>KESKOB FH</t>
  </si>
  <si>
    <t>FI0009000202</t>
  </si>
  <si>
    <t>J Sainsbury PLC</t>
  </si>
  <si>
    <t>SBRY LN</t>
  </si>
  <si>
    <t>GB00B019KW72</t>
  </si>
  <si>
    <t>Whitbread PLC Ordinary Shares</t>
  </si>
  <si>
    <t>WTB LN</t>
  </si>
  <si>
    <t>GB00B1KJJ408</t>
  </si>
  <si>
    <t>Porsche Automobil Holding SE Preference Share</t>
  </si>
  <si>
    <t>PAH3 GR</t>
  </si>
  <si>
    <t>DE000PAH0038</t>
  </si>
  <si>
    <t>Persimmon PLC</t>
  </si>
  <si>
    <t>PSN LN</t>
  </si>
  <si>
    <t>GB0006825383</t>
  </si>
  <si>
    <t>Howden Joinery Group PLC</t>
  </si>
  <si>
    <t>HWDN LN</t>
  </si>
  <si>
    <t>GB0005576813</t>
  </si>
  <si>
    <t>Dr Ing hc F Porsche AG Pref Shares</t>
  </si>
  <si>
    <t>P911 GR</t>
  </si>
  <si>
    <t>DE000PAG9113</t>
  </si>
  <si>
    <t>Berkeley Group Holdings PLC</t>
  </si>
  <si>
    <t>BKG LN</t>
  </si>
  <si>
    <t>GB00BP0RGD03</t>
  </si>
  <si>
    <t>Bollore SE Bollore</t>
  </si>
  <si>
    <t>BOL FP</t>
  </si>
  <si>
    <t>Freenet AG</t>
  </si>
  <si>
    <t>FNTN GR</t>
  </si>
  <si>
    <t>DE000A0Z2ZZ5</t>
  </si>
  <si>
    <t>Verbund AG A BEARER</t>
  </si>
  <si>
    <t>VER AV</t>
  </si>
  <si>
    <t>AT0000746409</t>
  </si>
  <si>
    <t>Orsted AS</t>
  </si>
  <si>
    <t>ORSTED DC</t>
  </si>
  <si>
    <t>DK0060094928</t>
  </si>
  <si>
    <t>Temenos AG</t>
  </si>
  <si>
    <t>TEMN SW</t>
  </si>
  <si>
    <t>CH0012453913</t>
  </si>
  <si>
    <t>Lagercrantz Group AB Class B</t>
  </si>
  <si>
    <t>LAGRB SS</t>
  </si>
  <si>
    <t>SE0014990966</t>
  </si>
  <si>
    <t>Hensoldt AG</t>
  </si>
  <si>
    <t>HAG GR</t>
  </si>
  <si>
    <t>No Selection</t>
  </si>
  <si>
    <t>Fortnox AB</t>
  </si>
  <si>
    <t>FNOX SS</t>
  </si>
  <si>
    <t>SE0017161243</t>
  </si>
  <si>
    <t>Sagax AB Ordinary Class B</t>
  </si>
  <si>
    <t>SAGAB SS</t>
  </si>
  <si>
    <t>SE0005127818</t>
  </si>
  <si>
    <t>LondonMetric Property PLC</t>
  </si>
  <si>
    <t>LMP LN</t>
  </si>
  <si>
    <t>GB00B4WFW713</t>
  </si>
  <si>
    <t>Gecina SA</t>
  </si>
  <si>
    <t>GFC FP</t>
  </si>
  <si>
    <t>FR0010040865</t>
  </si>
  <si>
    <t>Fastighets AB Balder CLASS B</t>
  </si>
  <si>
    <t>BALDB SS</t>
  </si>
  <si>
    <t>SE0017832488</t>
  </si>
  <si>
    <t>Castellum AB Common Shares</t>
  </si>
  <si>
    <t>CAST SS</t>
  </si>
  <si>
    <t>SE0000379190</t>
  </si>
  <si>
    <t>British Land Co PLC/The</t>
  </si>
  <si>
    <t>BLND LN</t>
  </si>
  <si>
    <t>GB0001367019</t>
  </si>
  <si>
    <t>thyssenkrupp AG</t>
  </si>
  <si>
    <t>TKA GR</t>
  </si>
  <si>
    <t>DE0007500001</t>
  </si>
  <si>
    <t>Yara International ASA</t>
  </si>
  <si>
    <t>YAR NO</t>
  </si>
  <si>
    <t>NO0010208051</t>
  </si>
  <si>
    <t>Syensqo SA</t>
  </si>
  <si>
    <t>SYENS BB</t>
  </si>
  <si>
    <t>BE0974464977</t>
  </si>
  <si>
    <t>KGHM Polska Miedz SA</t>
  </si>
  <si>
    <t>KGH PW</t>
  </si>
  <si>
    <t>PLKGHM000017</t>
  </si>
  <si>
    <t>Evonik Industries AG</t>
  </si>
  <si>
    <t>EVK GR</t>
  </si>
  <si>
    <t>DE000EVNK013</t>
  </si>
  <si>
    <t>EMS-Chemie Holding AG</t>
  </si>
  <si>
    <t>EMSN SW</t>
  </si>
  <si>
    <t>CH0016440353</t>
  </si>
  <si>
    <t>Croda International PLC</t>
  </si>
  <si>
    <t>CRDA LN</t>
  </si>
  <si>
    <t>GB00BJFFLV09</t>
  </si>
  <si>
    <t>Buzzi SpA COMMON</t>
  </si>
  <si>
    <t>BZU IM</t>
  </si>
  <si>
    <t>IT0001347308</t>
  </si>
  <si>
    <t>Arkema SA</t>
  </si>
  <si>
    <t>AKE FP</t>
  </si>
  <si>
    <t>FR0010313833</t>
  </si>
  <si>
    <t>Valmet Oyj</t>
  </si>
  <si>
    <t>VALMT FH</t>
  </si>
  <si>
    <t>FI4000074984</t>
  </si>
  <si>
    <t>Technip Energies NV</t>
  </si>
  <si>
    <t>TE FP</t>
  </si>
  <si>
    <t>NL0014559478</t>
  </si>
  <si>
    <t>Sodexo SA</t>
  </si>
  <si>
    <t>SW FP</t>
  </si>
  <si>
    <t>FR0000121220</t>
  </si>
  <si>
    <t>Konecranes Oyj Class A</t>
  </si>
  <si>
    <t>KCR FH</t>
  </si>
  <si>
    <t>FI0009005870</t>
  </si>
  <si>
    <t>Infrastrutture Wireless Italiane SpA Ordinary Shares</t>
  </si>
  <si>
    <t>INW IM</t>
  </si>
  <si>
    <t>IT0005090300</t>
  </si>
  <si>
    <t>Georg Fischer AG</t>
  </si>
  <si>
    <t>GF SW</t>
  </si>
  <si>
    <t>CH1169151003</t>
  </si>
  <si>
    <t>Flughafen Zurich AG</t>
  </si>
  <si>
    <t>FHZN SW</t>
  </si>
  <si>
    <t>CH0319416936</t>
  </si>
  <si>
    <t>Elis SA</t>
  </si>
  <si>
    <t>ELIS FP</t>
  </si>
  <si>
    <t>FR0012435121</t>
  </si>
  <si>
    <t>Beijer Ref AB Class B</t>
  </si>
  <si>
    <t>BEIJB SS</t>
  </si>
  <si>
    <t>SE0015949748</t>
  </si>
  <si>
    <t>Adecco Group AG</t>
  </si>
  <si>
    <t>ADEN SW</t>
  </si>
  <si>
    <t>CH0012138605</t>
  </si>
  <si>
    <t>Ackermans &amp; van Haaren NV Ordinary Shares</t>
  </si>
  <si>
    <t>ACKB BB</t>
  </si>
  <si>
    <t>BE0003764785</t>
  </si>
  <si>
    <t>Accelleron Industries AG</t>
  </si>
  <si>
    <t>ACLN SW</t>
  </si>
  <si>
    <t>CH1169360919</t>
  </si>
  <si>
    <t>Siegfried Holding AG</t>
  </si>
  <si>
    <t>SFZN SW</t>
  </si>
  <si>
    <t>CH0014284498</t>
  </si>
  <si>
    <t>Sectra AB Class B</t>
  </si>
  <si>
    <t>SECTB SS</t>
  </si>
  <si>
    <t>SE0022419784</t>
  </si>
  <si>
    <t>Galenica AG</t>
  </si>
  <si>
    <t>GALE SW</t>
  </si>
  <si>
    <t>CH0360674466</t>
  </si>
  <si>
    <t>Storebrand ASA</t>
  </si>
  <si>
    <t>STB NO</t>
  </si>
  <si>
    <t>NO0003053605</t>
  </si>
  <si>
    <t>Sofina SA</t>
  </si>
  <si>
    <t>SOF BB</t>
  </si>
  <si>
    <t>BE0003717312</t>
  </si>
  <si>
    <t>Credit Agricole SA</t>
  </si>
  <si>
    <t>ACA FP</t>
  </si>
  <si>
    <t>FR0000045072</t>
  </si>
  <si>
    <t>SCOR SE</t>
  </si>
  <si>
    <t>SCR FP</t>
  </si>
  <si>
    <t>FR0010411983</t>
  </si>
  <si>
    <t>Mediobanca Banca di Credito Finanziario SpA</t>
  </si>
  <si>
    <t>MB IM</t>
  </si>
  <si>
    <t>IT0000062957</t>
  </si>
  <si>
    <t>Nordnet AB publ</t>
  </si>
  <si>
    <t>SAVE SS</t>
  </si>
  <si>
    <t>SE0015192067</t>
  </si>
  <si>
    <t>IG Group Holdings PLC</t>
  </si>
  <si>
    <t>IGG LN</t>
  </si>
  <si>
    <t>GB00B06QFB75</t>
  </si>
  <si>
    <t>Hiscox Ltd</t>
  </si>
  <si>
    <t>HSX LN</t>
  </si>
  <si>
    <t>BMG4593F1389</t>
  </si>
  <si>
    <t>Gjensidige Forsikring ASA</t>
  </si>
  <si>
    <t>GJF NO</t>
  </si>
  <si>
    <t>NO0010582521</t>
  </si>
  <si>
    <t>Direct Line Insurance Group PLC</t>
  </si>
  <si>
    <t>DLG LN</t>
  </si>
  <si>
    <t>GB00BY9D0Y18</t>
  </si>
  <si>
    <t>CVC Capital Partners PLC</t>
  </si>
  <si>
    <t>CVC NA</t>
  </si>
  <si>
    <t>KBC Group NV</t>
  </si>
  <si>
    <t>KBC BB</t>
  </si>
  <si>
    <t>BE0003565737</t>
  </si>
  <si>
    <t>Avanza Bank Holding AB</t>
  </si>
  <si>
    <t>AZA SS</t>
  </si>
  <si>
    <t>SE0012454072</t>
  </si>
  <si>
    <t>Amundi SA</t>
  </si>
  <si>
    <t>AMUN FP</t>
  </si>
  <si>
    <t>FR0004125920</t>
  </si>
  <si>
    <t>Gaztransport Et Technigaz SA</t>
  </si>
  <si>
    <t>GTT FP</t>
  </si>
  <si>
    <t>FR0011726835</t>
  </si>
  <si>
    <t>AAK AB</t>
  </si>
  <si>
    <t>AAK SS</t>
  </si>
  <si>
    <t>SE0011337708</t>
  </si>
  <si>
    <t>Taylor Wimpey PLC</t>
  </si>
  <si>
    <t>TW/ LN</t>
  </si>
  <si>
    <t>GB0008782301</t>
  </si>
  <si>
    <t>Swatch Group AG/The BEARER SHARES</t>
  </si>
  <si>
    <t>UHR SW</t>
  </si>
  <si>
    <t>CH0012255151</t>
  </si>
  <si>
    <t>LPP SA ORDINARY SHARES</t>
  </si>
  <si>
    <t>LPP PW</t>
  </si>
  <si>
    <t>PLLPP0000011</t>
  </si>
  <si>
    <t>Entain PLC</t>
  </si>
  <si>
    <t>ENT LN</t>
  </si>
  <si>
    <t>IM00B5VQMV65</t>
  </si>
  <si>
    <t>Avolta AG</t>
  </si>
  <si>
    <t>AVOL SW</t>
  </si>
  <si>
    <t>CH0023405456</t>
  </si>
  <si>
    <t>Allegro.eu SA</t>
  </si>
  <si>
    <t>ALE PW</t>
  </si>
  <si>
    <t>LU2237380790</t>
  </si>
  <si>
    <t>Telecom Italia SpA/Milano Common Shares</t>
  </si>
  <si>
    <t>TIT IM</t>
  </si>
  <si>
    <t>IT0003497168</t>
  </si>
  <si>
    <t>CD Projekt SA</t>
  </si>
  <si>
    <t>CDR PW</t>
  </si>
  <si>
    <t>PLOPTTC00011</t>
  </si>
  <si>
    <t>ITV PLC</t>
  </si>
  <si>
    <t>ITV LN</t>
  </si>
  <si>
    <t>GB0033986497</t>
  </si>
  <si>
    <t>Just Eat Takeaway.com NV</t>
  </si>
  <si>
    <t>TKWY NA</t>
  </si>
  <si>
    <t>NL0012015705</t>
  </si>
  <si>
    <t>Sunrise Communications AG Class A Common Shares</t>
  </si>
  <si>
    <t>SUNN SW</t>
  </si>
  <si>
    <t>Naturgy Energy Group SA</t>
  </si>
  <si>
    <t>NTGY SM</t>
  </si>
  <si>
    <t>Italgas SpA</t>
  </si>
  <si>
    <t>IG IM</t>
  </si>
  <si>
    <t>IT0005211237</t>
  </si>
  <si>
    <t>Hera SpA</t>
  </si>
  <si>
    <t>HER IM</t>
  </si>
  <si>
    <t>IT0001250932</t>
  </si>
  <si>
    <t>Enagas SA</t>
  </si>
  <si>
    <t>ENG SM</t>
  </si>
  <si>
    <t>ES0130960018</t>
  </si>
  <si>
    <t>Elia Group SA/NV Common</t>
  </si>
  <si>
    <t>ELI BB</t>
  </si>
  <si>
    <t>BE0003822393</t>
  </si>
  <si>
    <t>BKW AG</t>
  </si>
  <si>
    <t>BKW SW</t>
  </si>
  <si>
    <t>CH0130293662</t>
  </si>
  <si>
    <t>A2A SpA</t>
  </si>
  <si>
    <t>A2A IM</t>
  </si>
  <si>
    <t>IT0001233417</t>
  </si>
  <si>
    <t>Reply SpA</t>
  </si>
  <si>
    <t>REY IM</t>
  </si>
  <si>
    <t>IT0005282865</t>
  </si>
  <si>
    <t>Bechtle AG</t>
  </si>
  <si>
    <t>BC8 GR</t>
  </si>
  <si>
    <t>DE0005158703</t>
  </si>
  <si>
    <t>Warehouses De Pauw CVA</t>
  </si>
  <si>
    <t>WDP BB</t>
  </si>
  <si>
    <t>BE0974349814</t>
  </si>
  <si>
    <t>UNITE Group PLC/The</t>
  </si>
  <si>
    <t>UTG LN</t>
  </si>
  <si>
    <t>GB0006928617</t>
  </si>
  <si>
    <t>Tritax Big Box REIT PLC</t>
  </si>
  <si>
    <t>BBOX LN</t>
  </si>
  <si>
    <t>GB00BG49KP99</t>
  </si>
  <si>
    <t>Merlin Properties Socimi SA</t>
  </si>
  <si>
    <t>MRL SM</t>
  </si>
  <si>
    <t>ES0105025003</t>
  </si>
  <si>
    <t>Cofinimmo SA Common</t>
  </si>
  <si>
    <t>COFB BB</t>
  </si>
  <si>
    <t>BE0003593044</t>
  </si>
  <si>
    <t>Allreal Holding AG</t>
  </si>
  <si>
    <t>ALLN SW</t>
  </si>
  <si>
    <t>CH0008837566</t>
  </si>
  <si>
    <t>Aedifica SA Common</t>
  </si>
  <si>
    <t>AED BB</t>
  </si>
  <si>
    <t>BE0003851681</t>
  </si>
  <si>
    <t>Wienerberger AG</t>
  </si>
  <si>
    <t>WIE AV</t>
  </si>
  <si>
    <t>AT0000831706</t>
  </si>
  <si>
    <t>SSAB AB B Shares</t>
  </si>
  <si>
    <t>SSABB SS</t>
  </si>
  <si>
    <t>SE0000120669</t>
  </si>
  <si>
    <t>ROCKWOOL A/S Class B</t>
  </si>
  <si>
    <t>ROCKB DC</t>
  </si>
  <si>
    <t>DK0010219153</t>
  </si>
  <si>
    <t>K+S AG</t>
  </si>
  <si>
    <t>SDF GR</t>
  </si>
  <si>
    <t>DE000KSAG888</t>
  </si>
  <si>
    <t>Huhtamaki Oyj</t>
  </si>
  <si>
    <t>HUH1V FH</t>
  </si>
  <si>
    <t>FI0009000459</t>
  </si>
  <si>
    <t>Holmen AB Class B</t>
  </si>
  <si>
    <t>HOLMB SS</t>
  </si>
  <si>
    <t>SE0011090018</t>
  </si>
  <si>
    <t>Sweco AB B Shares</t>
  </si>
  <si>
    <t>SWECB SS</t>
  </si>
  <si>
    <t>SE0014960373</t>
  </si>
  <si>
    <t>Rotork PLC</t>
  </si>
  <si>
    <t>ROR LN</t>
  </si>
  <si>
    <t>GB00BVFNZH21</t>
  </si>
  <si>
    <t>Rational AG</t>
  </si>
  <si>
    <t>RAA GR</t>
  </si>
  <si>
    <t>DE0007010803</t>
  </si>
  <si>
    <t>Randstad NV</t>
  </si>
  <si>
    <t>RAND NA</t>
  </si>
  <si>
    <t>NL0000379121</t>
  </si>
  <si>
    <t>Nexans SA</t>
  </si>
  <si>
    <t>NEX FP</t>
  </si>
  <si>
    <t>FR0000044448</t>
  </si>
  <si>
    <t>NKT A/S Common Shares</t>
  </si>
  <si>
    <t>NKT DC</t>
  </si>
  <si>
    <t>DK0010287663</t>
  </si>
  <si>
    <t>Interpump Group SpA</t>
  </si>
  <si>
    <t>IP IM</t>
  </si>
  <si>
    <t>IT0001078911</t>
  </si>
  <si>
    <t>International Distribution Services PLC</t>
  </si>
  <si>
    <t>IDS LN</t>
  </si>
  <si>
    <t>GB00BDVZYZ77</t>
  </si>
  <si>
    <t>InPost SA</t>
  </si>
  <si>
    <t>INPST NA</t>
  </si>
  <si>
    <t>LU2290522684</t>
  </si>
  <si>
    <t>ISS A/S</t>
  </si>
  <si>
    <t>ISS DC</t>
  </si>
  <si>
    <t>DK0060542181</t>
  </si>
  <si>
    <t>Deutsche Lufthansa AG</t>
  </si>
  <si>
    <t>LHA GR</t>
  </si>
  <si>
    <t>DE0008232125</t>
  </si>
  <si>
    <t>Balfour Beatty PLC</t>
  </si>
  <si>
    <t>BBY LN</t>
  </si>
  <si>
    <t>GB0000961622</t>
  </si>
  <si>
    <t>Arcadis NV</t>
  </si>
  <si>
    <t>ARCAD NA</t>
  </si>
  <si>
    <t>NL0006237562</t>
  </si>
  <si>
    <t>Acciona SA</t>
  </si>
  <si>
    <t>ANA SM</t>
  </si>
  <si>
    <t>ES0125220311</t>
  </si>
  <si>
    <t>Aalberts NV</t>
  </si>
  <si>
    <t>AALB NA</t>
  </si>
  <si>
    <t>NL0000852564</t>
  </si>
  <si>
    <t>ANDRITZ AG</t>
  </si>
  <si>
    <t>ANDR AV</t>
  </si>
  <si>
    <t>AT0000730007</t>
  </si>
  <si>
    <t>Zealand Pharma A/S</t>
  </si>
  <si>
    <t>ZEAL DC</t>
  </si>
  <si>
    <t>DK0060257814</t>
  </si>
  <si>
    <t>Ipsen SA</t>
  </si>
  <si>
    <t>IPN FP</t>
  </si>
  <si>
    <t>FR0010259150</t>
  </si>
  <si>
    <t>Hikma Pharmaceuticals PLC</t>
  </si>
  <si>
    <t>HIK LN</t>
  </si>
  <si>
    <t>GB00B0LCW083</t>
  </si>
  <si>
    <t>Getinge AB Class B</t>
  </si>
  <si>
    <t>GETIB SS</t>
  </si>
  <si>
    <t>SE0000202624</t>
  </si>
  <si>
    <t>Demant A/S</t>
  </si>
  <si>
    <t>DEMANT DC</t>
  </si>
  <si>
    <t>DK0060738599</t>
  </si>
  <si>
    <t>ALK-Abello A/S CLASS B</t>
  </si>
  <si>
    <t>ALKB DC</t>
  </si>
  <si>
    <t>DK0061802139</t>
  </si>
  <si>
    <t>abrdn plc</t>
  </si>
  <si>
    <t>ABDN LN</t>
  </si>
  <si>
    <t>GB00BF8Q6K64</t>
  </si>
  <si>
    <t>VZ Holding AG</t>
  </si>
  <si>
    <t>VZN SW</t>
  </si>
  <si>
    <t>CH0528751586</t>
  </si>
  <si>
    <t>Skandinaviska Enskilda Banken AB Class A</t>
  </si>
  <si>
    <t>SEBA SS</t>
  </si>
  <si>
    <t>SE0000148884</t>
  </si>
  <si>
    <t>DNB Bank ASA</t>
  </si>
  <si>
    <t>DNB NO</t>
  </si>
  <si>
    <t>NO0010161896</t>
  </si>
  <si>
    <t>Schroders PLC ORDINARY</t>
  </si>
  <si>
    <t>SDR LN</t>
  </si>
  <si>
    <t>GB00BP9LHF23</t>
  </si>
  <si>
    <t>Bank of Ireland Group PLC</t>
  </si>
  <si>
    <t>BIRG ID</t>
  </si>
  <si>
    <t>IE00BD1RP616</t>
  </si>
  <si>
    <t>Plus500 Ltd</t>
  </si>
  <si>
    <t>PLUS LN</t>
  </si>
  <si>
    <t>IL0011284465</t>
  </si>
  <si>
    <t>Nexi SpA</t>
  </si>
  <si>
    <t>NEXI IM</t>
  </si>
  <si>
    <t>IT0005366767</t>
  </si>
  <si>
    <t>Mapfre SA</t>
  </si>
  <si>
    <t>MAP SM</t>
  </si>
  <si>
    <t>L E Lundbergforetagen AB Class B</t>
  </si>
  <si>
    <t>LUNDB SS</t>
  </si>
  <si>
    <t>SE0000108847</t>
  </si>
  <si>
    <t>Cembra Money Bank AG</t>
  </si>
  <si>
    <t>CMBN SW</t>
  </si>
  <si>
    <t>CH0225173167</t>
  </si>
  <si>
    <t>Investment AB Latour Class B</t>
  </si>
  <si>
    <t>LATOB SS</t>
  </si>
  <si>
    <t>FR0000121121</t>
  </si>
  <si>
    <t>Banca Popolare di Sondrio SPA</t>
  </si>
  <si>
    <t>BPSO IM</t>
  </si>
  <si>
    <t>IT0000784196</t>
  </si>
  <si>
    <t>Eurazeo SE</t>
  </si>
  <si>
    <t>RF FP</t>
  </si>
  <si>
    <t>Sydbank AS Common Shares</t>
  </si>
  <si>
    <t>SYDB DC</t>
  </si>
  <si>
    <t>DK0010311471</t>
  </si>
  <si>
    <t>Jyske Bank A/S</t>
  </si>
  <si>
    <t>JYSK DC</t>
  </si>
  <si>
    <t>DK0010307958</t>
  </si>
  <si>
    <t>Banca Generali SpA</t>
  </si>
  <si>
    <t>BGN IM</t>
  </si>
  <si>
    <t>IT0001031084</t>
  </si>
  <si>
    <t>Subsea 7 SA</t>
  </si>
  <si>
    <t>SUBC NO</t>
  </si>
  <si>
    <t>LU0075646355</t>
  </si>
  <si>
    <t>Saipem SpA COMMON</t>
  </si>
  <si>
    <t>SPM IM</t>
  </si>
  <si>
    <t>IT0005495657</t>
  </si>
  <si>
    <t>Neste Oyj</t>
  </si>
  <si>
    <t>NESTE FH</t>
  </si>
  <si>
    <t>FI0009013296</t>
  </si>
  <si>
    <t>Salmar ASA</t>
  </si>
  <si>
    <t>SALM NO</t>
  </si>
  <si>
    <t>NO0010310956</t>
  </si>
  <si>
    <t>Lotus Bakeries NV</t>
  </si>
  <si>
    <t>LOTB BB</t>
  </si>
  <si>
    <t>BE0003604155</t>
  </si>
  <si>
    <t>JDE Peet's NV</t>
  </si>
  <si>
    <t>JDEP NA</t>
  </si>
  <si>
    <t>NL0014332678</t>
  </si>
  <si>
    <t>Davide Campari-Milano NV Ordinary Shares</t>
  </si>
  <si>
    <t>CPR IM</t>
  </si>
  <si>
    <t>NL0015435975</t>
  </si>
  <si>
    <t>Cranswick PLC</t>
  </si>
  <si>
    <t>CWK LN</t>
  </si>
  <si>
    <t>GB0002318888</t>
  </si>
  <si>
    <t>Barry Callebaut AG</t>
  </si>
  <si>
    <t>BARN SW</t>
  </si>
  <si>
    <t>CH0009002962</t>
  </si>
  <si>
    <t>B&amp;M European Value Retail SA</t>
  </si>
  <si>
    <t>BME LN</t>
  </si>
  <si>
    <t>LU1072616219</t>
  </si>
  <si>
    <t>TUI AG</t>
  </si>
  <si>
    <t>TUI LN</t>
  </si>
  <si>
    <t>DE000TUAG505</t>
  </si>
  <si>
    <t>La Francaise des Jeux SACA</t>
  </si>
  <si>
    <t>FDJU FP</t>
  </si>
  <si>
    <t>FR0013451333</t>
  </si>
  <si>
    <t>Inchcape PLC</t>
  </si>
  <si>
    <t>INCH LN</t>
  </si>
  <si>
    <t>GB00B61TVQ02</t>
  </si>
  <si>
    <t>D'ieteren Group</t>
  </si>
  <si>
    <t>DIE BB</t>
  </si>
  <si>
    <t>BE0974259880</t>
  </si>
  <si>
    <t>Burberry Group PLC</t>
  </si>
  <si>
    <t>BRBY LN</t>
  </si>
  <si>
    <t>GB0031743007</t>
  </si>
  <si>
    <t>Brunello Cucinelli SpA</t>
  </si>
  <si>
    <t>BC IM</t>
  </si>
  <si>
    <t>IT0004764699</t>
  </si>
  <si>
    <t>Bellway PLC</t>
  </si>
  <si>
    <t>BWY LN</t>
  </si>
  <si>
    <t>GB0000904986</t>
  </si>
  <si>
    <t>Auto1 Group SE</t>
  </si>
  <si>
    <t>AG1 GR</t>
  </si>
  <si>
    <t>DKSH Holding AG</t>
  </si>
  <si>
    <t>DKSH SW</t>
  </si>
  <si>
    <t>CH0126673539</t>
  </si>
  <si>
    <t>Embracer Group AB Class B Common Shares</t>
  </si>
  <si>
    <t>EMBRACB SS</t>
  </si>
  <si>
    <t>SE0023615885</t>
  </si>
  <si>
    <t>Hemnet Group AB Common Shares</t>
  </si>
  <si>
    <t>HEM SS</t>
  </si>
  <si>
    <t>SE0015671995</t>
  </si>
  <si>
    <t>Pennon Group PLC</t>
  </si>
  <si>
    <t>PNN LN</t>
  </si>
  <si>
    <t>GB00BNNTLN49</t>
  </si>
  <si>
    <t>EDP Renovaveis SA</t>
  </si>
  <si>
    <t>EDPR PL</t>
  </si>
  <si>
    <t>Drax Group PLC</t>
  </si>
  <si>
    <t>DRX LN</t>
  </si>
  <si>
    <t>GB00B1VNSX38</t>
  </si>
  <si>
    <t>TietoEVRY Oyj</t>
  </si>
  <si>
    <t>TIETO FH</t>
  </si>
  <si>
    <t>FI0009000277</t>
  </si>
  <si>
    <t>Sopra Steria Group</t>
  </si>
  <si>
    <t>SOP FP</t>
  </si>
  <si>
    <t>FR0000050809</t>
  </si>
  <si>
    <t>Softcat PLC</t>
  </si>
  <si>
    <t>SCT LN</t>
  </si>
  <si>
    <t>GB00BYZDVK82</t>
  </si>
  <si>
    <t>Serco Group PLC</t>
  </si>
  <si>
    <t>SRP LN</t>
  </si>
  <si>
    <t>GB0007973794</t>
  </si>
  <si>
    <t>Mycronic AB</t>
  </si>
  <si>
    <t>MYCR SS</t>
  </si>
  <si>
    <t>SE0000375115</t>
  </si>
  <si>
    <t>GN Store Nord AS</t>
  </si>
  <si>
    <t>GN DC</t>
  </si>
  <si>
    <t>DK0010272632</t>
  </si>
  <si>
    <t>Computacenter PLC</t>
  </si>
  <si>
    <t>CCC LN</t>
  </si>
  <si>
    <t>GB00BV9FP302</t>
  </si>
  <si>
    <t>Comet Holding AG</t>
  </si>
  <si>
    <t>COTN SW</t>
  </si>
  <si>
    <t>CH0360826991</t>
  </si>
  <si>
    <t>Wihlborgs Fastigheter AB</t>
  </si>
  <si>
    <t>WIHL SS</t>
  </si>
  <si>
    <t>Wallenstam AB Class B</t>
  </si>
  <si>
    <t>WALLB SS</t>
  </si>
  <si>
    <t>SE0017780133</t>
  </si>
  <si>
    <t>TAG Immobilien AG</t>
  </si>
  <si>
    <t>TEG GR</t>
  </si>
  <si>
    <t>DE0008303504</t>
  </si>
  <si>
    <t>Shaftesbury Capital PLC</t>
  </si>
  <si>
    <t>SHC LN</t>
  </si>
  <si>
    <t>GB00B62G9D36</t>
  </si>
  <si>
    <t>Safestore Holdings PLC</t>
  </si>
  <si>
    <t>SAFE LN</t>
  </si>
  <si>
    <t>GB00B1N7Z094</t>
  </si>
  <si>
    <t>Derwent London PLC</t>
  </si>
  <si>
    <t>DLN LN</t>
  </si>
  <si>
    <t>GB0002652740</t>
  </si>
  <si>
    <t>Covivio SA/France</t>
  </si>
  <si>
    <t>COV FP</t>
  </si>
  <si>
    <t>FR0000064578</t>
  </si>
  <si>
    <t>Big Yellow Group PLC</t>
  </si>
  <si>
    <t>BYG LN</t>
  </si>
  <si>
    <t>GB0002869419</t>
  </si>
  <si>
    <t>voestalpine AG</t>
  </si>
  <si>
    <t>VOE AV</t>
  </si>
  <si>
    <t>AT0000937503</t>
  </si>
  <si>
    <t>Viscofan SA Ordinary Shares</t>
  </si>
  <si>
    <t>VIS SM</t>
  </si>
  <si>
    <t>ES0184262212</t>
  </si>
  <si>
    <t>Vidrala SA</t>
  </si>
  <si>
    <t>VID SM</t>
  </si>
  <si>
    <t>ES0183746314</t>
  </si>
  <si>
    <t>Verallia SA</t>
  </si>
  <si>
    <t>VRLA FP</t>
  </si>
  <si>
    <t>FR0013447729</t>
  </si>
  <si>
    <t>Vallourec SACA</t>
  </si>
  <si>
    <t>VK FP</t>
  </si>
  <si>
    <t>FR0013506730</t>
  </si>
  <si>
    <t>LANXESS AG</t>
  </si>
  <si>
    <t>LXS GR</t>
  </si>
  <si>
    <t>DE0005470405</t>
  </si>
  <si>
    <t>Kemira Oyj</t>
  </si>
  <si>
    <t>KEMIRA FH</t>
  </si>
  <si>
    <t>FI0009004824</t>
  </si>
  <si>
    <t>Johnson Matthey PLC</t>
  </si>
  <si>
    <t>JMAT LN</t>
  </si>
  <si>
    <t>GB00BZ4BQC70</t>
  </si>
  <si>
    <t>Gerresheimer AG</t>
  </si>
  <si>
    <t>GXI GR</t>
  </si>
  <si>
    <t>DE000A0LD6E6</t>
  </si>
  <si>
    <t>FUCHS SE PREFERENCE SHR</t>
  </si>
  <si>
    <t>FPE3 GR</t>
  </si>
  <si>
    <t>DE000A3E5D64</t>
  </si>
  <si>
    <t>Clariant AG</t>
  </si>
  <si>
    <t>CLN SW</t>
  </si>
  <si>
    <t>CH0012142631</t>
  </si>
  <si>
    <t>Azelis Group NV</t>
  </si>
  <si>
    <t>AZE BB</t>
  </si>
  <si>
    <t>BE0974400328</t>
  </si>
  <si>
    <t>Aurubis AG</t>
  </si>
  <si>
    <t>NDA GR</t>
  </si>
  <si>
    <t>DE0006766504</t>
  </si>
  <si>
    <t>easyJet PLC Ordinary Shares</t>
  </si>
  <si>
    <t>EZJ LN</t>
  </si>
  <si>
    <t>GB00B7KR2P84</t>
  </si>
  <si>
    <t>TOMRA Systems ASA</t>
  </si>
  <si>
    <t>TOM NO</t>
  </si>
  <si>
    <t>NO0012470089</t>
  </si>
  <si>
    <t>Sulzer AG</t>
  </si>
  <si>
    <t>SUN SW</t>
  </si>
  <si>
    <t>CH0038388911</t>
  </si>
  <si>
    <t>Spectris PLC</t>
  </si>
  <si>
    <t>SXS LN</t>
  </si>
  <si>
    <t>GB0003308607</t>
  </si>
  <si>
    <t>Signify NV</t>
  </si>
  <si>
    <t>LIGHT NA</t>
  </si>
  <si>
    <t>NL0011821392</t>
  </si>
  <si>
    <t>SFS Group AG</t>
  </si>
  <si>
    <t>SFSN SW</t>
  </si>
  <si>
    <t>CH0239229302</t>
  </si>
  <si>
    <t>RS GROUP PLC</t>
  </si>
  <si>
    <t>RS1 LN</t>
  </si>
  <si>
    <t>GB0003096442</t>
  </si>
  <si>
    <t>QinetiQ Group PLC</t>
  </si>
  <si>
    <t>QQ/ LN</t>
  </si>
  <si>
    <t>GB00B0WMWD03</t>
  </si>
  <si>
    <t>Loomis AB</t>
  </si>
  <si>
    <t>LOOMIS SS</t>
  </si>
  <si>
    <t>KION Group AG</t>
  </si>
  <si>
    <t>KGX GR</t>
  </si>
  <si>
    <t>DE000KGX8881</t>
  </si>
  <si>
    <t>Iveco Group NV Common</t>
  </si>
  <si>
    <t>IVG IM</t>
  </si>
  <si>
    <t>NL0015000LU4</t>
  </si>
  <si>
    <t>Hexpol AB Class B</t>
  </si>
  <si>
    <t>HPOLB SS</t>
  </si>
  <si>
    <t>SE0007074281</t>
  </si>
  <si>
    <t>HOCHTIEF AG</t>
  </si>
  <si>
    <t>HOT GR</t>
  </si>
  <si>
    <t>DE0006070006</t>
  </si>
  <si>
    <t>Frontline PLC</t>
  </si>
  <si>
    <t>FRO NO</t>
  </si>
  <si>
    <t>FLSmidth &amp; Co A/S</t>
  </si>
  <si>
    <t>FLS DC</t>
  </si>
  <si>
    <t>DK0010234467</t>
  </si>
  <si>
    <t>Cargotec Oyj Class B</t>
  </si>
  <si>
    <t>HIAB FH</t>
  </si>
  <si>
    <t>FI4000571013</t>
  </si>
  <si>
    <t>Bucher Industries AG</t>
  </si>
  <si>
    <t>BUCN SW</t>
  </si>
  <si>
    <t>CH0002432174</t>
  </si>
  <si>
    <t>Alten SA Ordinary Shares</t>
  </si>
  <si>
    <t>ATE FP</t>
  </si>
  <si>
    <t>FR0000071946</t>
  </si>
  <si>
    <t>Aeroports de Paris SA</t>
  </si>
  <si>
    <t>ADP FP</t>
  </si>
  <si>
    <t>FR0010340141</t>
  </si>
  <si>
    <t>Tecan Group AG</t>
  </si>
  <si>
    <t>TECN SW</t>
  </si>
  <si>
    <t>CH0012100191</t>
  </si>
  <si>
    <t>Grifols SA Common Shares</t>
  </si>
  <si>
    <t>GRF SM</t>
  </si>
  <si>
    <t>ES0171996087</t>
  </si>
  <si>
    <t>Financiere de Tubize SA</t>
  </si>
  <si>
    <t>TUB BB</t>
  </si>
  <si>
    <t>DiaSorin SpA Ordinary Shares</t>
  </si>
  <si>
    <t>DIA IM</t>
  </si>
  <si>
    <t>IT0003492391</t>
  </si>
  <si>
    <t>Carl Zeiss Meditec AG</t>
  </si>
  <si>
    <t>AFX GR</t>
  </si>
  <si>
    <t>DE0005313704</t>
  </si>
  <si>
    <t>Bavarian Nordic A/S Common Shares</t>
  </si>
  <si>
    <t>BAVA DC</t>
  </si>
  <si>
    <t>DK0015998017</t>
  </si>
  <si>
    <t>Amplifon SpA Ordinary Shares</t>
  </si>
  <si>
    <t>AMP IM</t>
  </si>
  <si>
    <t>IT0004056880</t>
  </si>
  <si>
    <t>Ambu A/S Class B</t>
  </si>
  <si>
    <t>AMBUB DC</t>
  </si>
  <si>
    <t>DK0060946788</t>
  </si>
  <si>
    <t>Wendel SE</t>
  </si>
  <si>
    <t>MF FP</t>
  </si>
  <si>
    <t>FR0000121204</t>
  </si>
  <si>
    <t>TP ICAP Group PLC</t>
  </si>
  <si>
    <t>TCAP LN</t>
  </si>
  <si>
    <t>JE00BMDZN391</t>
  </si>
  <si>
    <t>TBC Bank Group PLC</t>
  </si>
  <si>
    <t>TBCG LN</t>
  </si>
  <si>
    <t>Mandatum Oyj</t>
  </si>
  <si>
    <t>MANTA FH</t>
  </si>
  <si>
    <t>Man Group PLC/Jersey</t>
  </si>
  <si>
    <t>EMG LN</t>
  </si>
  <si>
    <t>JE00BJ1DLW90</t>
  </si>
  <si>
    <t>Bridgepoint Group PLC</t>
  </si>
  <si>
    <t>BPT LN</t>
  </si>
  <si>
    <t>GB00BND88V85</t>
  </si>
  <si>
    <t>Ringkjoebing Landbobank A/S</t>
  </si>
  <si>
    <t>RILBA DC</t>
  </si>
  <si>
    <t>DK0060854669</t>
  </si>
  <si>
    <t>Azimut Holding SpA</t>
  </si>
  <si>
    <t>AZM IM</t>
  </si>
  <si>
    <t>IT0003261697</t>
  </si>
  <si>
    <t>Allfunds Group Plc</t>
  </si>
  <si>
    <t>ALLFG NA</t>
  </si>
  <si>
    <t>GB00BNTJ3546</t>
  </si>
  <si>
    <t>Var Energi ASA</t>
  </si>
  <si>
    <t>VAR NO</t>
  </si>
  <si>
    <t>SBM Offshore NV</t>
  </si>
  <si>
    <t>SBMO NA</t>
  </si>
  <si>
    <t>Rubis SCA Rubis</t>
  </si>
  <si>
    <t>RUI FP</t>
  </si>
  <si>
    <t>FR0013269123</t>
  </si>
  <si>
    <t>Koninklijke Vopak NV</t>
  </si>
  <si>
    <t>VPK NA</t>
  </si>
  <si>
    <t>NL0009432491</t>
  </si>
  <si>
    <t>Tate &amp; Lyle PLC</t>
  </si>
  <si>
    <t>TATE LN</t>
  </si>
  <si>
    <t>GB00BP92CJ43</t>
  </si>
  <si>
    <t>Royal Unibrew A/S</t>
  </si>
  <si>
    <t>RBREW DC</t>
  </si>
  <si>
    <t>DK0060634707</t>
  </si>
  <si>
    <t>Redcare Pharmacy NV</t>
  </si>
  <si>
    <t>RDC GR</t>
  </si>
  <si>
    <t>NL0012044747</t>
  </si>
  <si>
    <t>Puig Brands SA Class B</t>
  </si>
  <si>
    <t>PUIG SM</t>
  </si>
  <si>
    <t>Ocado Group PLC</t>
  </si>
  <si>
    <t>OCDO LN</t>
  </si>
  <si>
    <t>GB00B3MBS747</t>
  </si>
  <si>
    <t>Greggs PLC</t>
  </si>
  <si>
    <t>GRG LN</t>
  </si>
  <si>
    <t>GB00B63QSB39</t>
  </si>
  <si>
    <t>Glanbia PLC</t>
  </si>
  <si>
    <t>GLB ID</t>
  </si>
  <si>
    <t>IE0000669501</t>
  </si>
  <si>
    <t>Bakkafrost P/F</t>
  </si>
  <si>
    <t>BAKKA NO</t>
  </si>
  <si>
    <t>FO0000000179</t>
  </si>
  <si>
    <t>Axfood AB CLASS B</t>
  </si>
  <si>
    <t>AXFO SS</t>
  </si>
  <si>
    <t>SE0006993770</t>
  </si>
  <si>
    <t>Vistry Group PLC</t>
  </si>
  <si>
    <t>VTY LN</t>
  </si>
  <si>
    <t>GB0001859296</t>
  </si>
  <si>
    <t>Valeo SE</t>
  </si>
  <si>
    <t>FR FP</t>
  </si>
  <si>
    <t>FR0013176526</t>
  </si>
  <si>
    <t>Thule Group AB</t>
  </si>
  <si>
    <t>THULE SS</t>
  </si>
  <si>
    <t>SE0006422390</t>
  </si>
  <si>
    <t>SEB SA</t>
  </si>
  <si>
    <t>SK FP</t>
  </si>
  <si>
    <t>FR0000121709</t>
  </si>
  <si>
    <t>Puma SE</t>
  </si>
  <si>
    <t>PUM GR</t>
  </si>
  <si>
    <t>DE0006969603</t>
  </si>
  <si>
    <t>JD Sports Fashion PLC</t>
  </si>
  <si>
    <t>JD/ LN</t>
  </si>
  <si>
    <t>GB00BM8Q5M07</t>
  </si>
  <si>
    <t>Grafton Group PLC</t>
  </si>
  <si>
    <t>GFTU LN</t>
  </si>
  <si>
    <t>IE00B00MZ448</t>
  </si>
  <si>
    <t>Christian Dior SE</t>
  </si>
  <si>
    <t>CDI FP</t>
  </si>
  <si>
    <t>FR0000130403</t>
  </si>
  <si>
    <t>Carnival PLC ORDINARY SHARES</t>
  </si>
  <si>
    <t>CCL LN</t>
  </si>
  <si>
    <t>GB0031215220</t>
  </si>
  <si>
    <t>Inficon Holding AG</t>
  </si>
  <si>
    <t>IFCN SW</t>
  </si>
  <si>
    <t>CH0011029946</t>
  </si>
  <si>
    <t>Husqvarna AB Class B</t>
  </si>
  <si>
    <t>HUSQB SS</t>
  </si>
  <si>
    <t>SE0001662230</t>
  </si>
  <si>
    <t>Elekta AB B Shares</t>
  </si>
  <si>
    <t>EKTAB SS</t>
  </si>
  <si>
    <t>SE0000163628</t>
  </si>
  <si>
    <t>Bachem Holding AG</t>
  </si>
  <si>
    <t>BANB SW</t>
  </si>
  <si>
    <t>CH1176493729</t>
  </si>
  <si>
    <t>Kinnevik AB B Shares</t>
  </si>
  <si>
    <t>KINVB SS</t>
  </si>
  <si>
    <t>SE0022060521</t>
  </si>
  <si>
    <t>Fugro NV</t>
  </si>
  <si>
    <t>FUR NA</t>
  </si>
  <si>
    <t>NL00150003E1</t>
  </si>
  <si>
    <t>Playtech Plc</t>
  </si>
  <si>
    <t>PTEC LN</t>
  </si>
  <si>
    <t>IM00B7S9G985</t>
  </si>
  <si>
    <t>Electrolux AB Class B</t>
  </si>
  <si>
    <t>ELUXB SS</t>
  </si>
  <si>
    <t>SE0016589188</t>
  </si>
  <si>
    <r>
      <t>Sector</t>
    </r>
    <r>
      <rPr>
        <sz val="11"/>
        <color rgb="FF000000"/>
        <rFont val="Aptos Narrow"/>
        <charset val="1"/>
      </rPr>
      <t> </t>
    </r>
  </si>
  <si>
    <r>
      <t>Sub-sector</t>
    </r>
    <r>
      <rPr>
        <sz val="11"/>
        <color rgb="FF000000"/>
        <rFont val="Aptos Narrow"/>
        <charset val="1"/>
      </rPr>
      <t> </t>
    </r>
  </si>
  <si>
    <t>Financials </t>
  </si>
  <si>
    <t>Banking </t>
  </si>
  <si>
    <t>Insurance </t>
  </si>
  <si>
    <t>Financial Services </t>
  </si>
  <si>
    <t>Industrials </t>
  </si>
  <si>
    <t>Industrial Products </t>
  </si>
  <si>
    <t>Industrial Services </t>
  </si>
  <si>
    <t>Health Care </t>
  </si>
  <si>
    <t>Consumer Staples </t>
  </si>
  <si>
    <t>Consumer Staple Products </t>
  </si>
  <si>
    <t>Retail &amp; Wholesale - Staples </t>
  </si>
  <si>
    <t>Consumer Discretionary </t>
  </si>
  <si>
    <t>Consumer Discretionary Products </t>
  </si>
  <si>
    <t>Retail &amp; Whsle - Discretionary </t>
  </si>
  <si>
    <t>Consumer Discretionary Services </t>
  </si>
  <si>
    <t>Technology </t>
  </si>
  <si>
    <t>Tech Hardware &amp; Semiconductors </t>
  </si>
  <si>
    <t>Software &amp; Tech Services </t>
  </si>
  <si>
    <t>Materials </t>
  </si>
  <si>
    <t>Energy </t>
  </si>
  <si>
    <t>Oil &amp; Gas </t>
  </si>
  <si>
    <t>Renewable Energy </t>
  </si>
  <si>
    <t>Utilities </t>
  </si>
  <si>
    <t>Communications </t>
  </si>
  <si>
    <t>Telecommunications </t>
  </si>
  <si>
    <t>Media </t>
  </si>
  <si>
    <t>Real Estate </t>
  </si>
  <si>
    <t> </t>
  </si>
  <si>
    <t xml:space="preserve">Sub-Sector </t>
  </si>
  <si>
    <t>Weight</t>
  </si>
  <si>
    <t>ISIN</t>
  </si>
  <si>
    <t>31/12/2020</t>
  </si>
  <si>
    <t>29/1/2021</t>
  </si>
  <si>
    <t>26/2/2021</t>
  </si>
  <si>
    <t>31/3/2021</t>
  </si>
  <si>
    <t>30/4/2021</t>
  </si>
  <si>
    <t>31/5/2021</t>
  </si>
  <si>
    <t>30/6/2021</t>
  </si>
  <si>
    <t>30/7/2021</t>
  </si>
  <si>
    <t>31/8/2021</t>
  </si>
  <si>
    <t>30/9/2021</t>
  </si>
  <si>
    <t>29/10/2021</t>
  </si>
  <si>
    <t>30/11/2021</t>
  </si>
  <si>
    <t>31/12/2021</t>
  </si>
  <si>
    <t>31/1/2022</t>
  </si>
  <si>
    <t>28/2/2022</t>
  </si>
  <si>
    <t>31/3/2022</t>
  </si>
  <si>
    <t>29/4/2022</t>
  </si>
  <si>
    <t>31/5/2022</t>
  </si>
  <si>
    <t>30/6/2022</t>
  </si>
  <si>
    <t>29/7/2022</t>
  </si>
  <si>
    <t>31/8/2022</t>
  </si>
  <si>
    <t>30/9/2022</t>
  </si>
  <si>
    <t>31/10/2022</t>
  </si>
  <si>
    <t>30/11/2022</t>
  </si>
  <si>
    <t>30/12/2022</t>
  </si>
  <si>
    <t>31/1/2023</t>
  </si>
  <si>
    <t>28/2/2023</t>
  </si>
  <si>
    <t>31/3/2023</t>
  </si>
  <si>
    <t>28/4/2023</t>
  </si>
  <si>
    <t>31/5/2023</t>
  </si>
  <si>
    <t>30/6/2023</t>
  </si>
  <si>
    <t>31/7/2023</t>
  </si>
  <si>
    <t>31/8/2023</t>
  </si>
  <si>
    <t>29/9/2023</t>
  </si>
  <si>
    <t>31/10/2023</t>
  </si>
  <si>
    <t>30/11/2023</t>
  </si>
  <si>
    <t>29/12/2023</t>
  </si>
  <si>
    <t>31/1/2024</t>
  </si>
  <si>
    <t>29/2/2024</t>
  </si>
  <si>
    <t>29/3/2024</t>
  </si>
  <si>
    <t>30/4/2024</t>
  </si>
  <si>
    <t>31/5/2024</t>
  </si>
  <si>
    <t>28/6/2024</t>
  </si>
  <si>
    <t>31/7/2024</t>
  </si>
  <si>
    <t>30/8/2024</t>
  </si>
  <si>
    <t>30/9/2024</t>
  </si>
  <si>
    <t>31/10/2024</t>
  </si>
  <si>
    <t>29/11/2024</t>
  </si>
  <si>
    <t>31/12/2024</t>
  </si>
  <si>
    <t>31/1/2025</t>
  </si>
  <si>
    <t>28/2/2025</t>
  </si>
  <si>
    <t>31/3/2025</t>
  </si>
  <si>
    <t>30/4/2025</t>
  </si>
  <si>
    <t>30/5/2025</t>
  </si>
  <si>
    <t>30/6/2025</t>
  </si>
  <si>
    <t>Ιαν-21</t>
  </si>
  <si>
    <t>Φεβ-21</t>
  </si>
  <si>
    <t>Μαρ-21</t>
  </si>
  <si>
    <t>Απρ-21</t>
  </si>
  <si>
    <t>Μαϊ-21</t>
  </si>
  <si>
    <t>Ιουν-21</t>
  </si>
  <si>
    <t>Ιουλ-21</t>
  </si>
  <si>
    <t>Αυγ-21</t>
  </si>
  <si>
    <t>Σεπ-21</t>
  </si>
  <si>
    <t>Οκτ-21</t>
  </si>
  <si>
    <t>Νοε-21</t>
  </si>
  <si>
    <t>Δεκ-21</t>
  </si>
  <si>
    <t>Ιαν-22</t>
  </si>
  <si>
    <t>Φεβ-22</t>
  </si>
  <si>
    <t>Μαρ-22</t>
  </si>
  <si>
    <t>Απρ-22</t>
  </si>
  <si>
    <t>Μαϊ-22</t>
  </si>
  <si>
    <t>Ιουν-22</t>
  </si>
  <si>
    <t>Ιουλ-22</t>
  </si>
  <si>
    <t>Αυγ-22</t>
  </si>
  <si>
    <t>Σεπ-22</t>
  </si>
  <si>
    <t>Οκτ-22</t>
  </si>
  <si>
    <t>Νοε-22</t>
  </si>
  <si>
    <t>Δεκ-22</t>
  </si>
  <si>
    <t>Ιαν-23</t>
  </si>
  <si>
    <t>Φεβ-23</t>
  </si>
  <si>
    <t>Μαρ-23</t>
  </si>
  <si>
    <t>Απρ-23</t>
  </si>
  <si>
    <t>Μαϊ-23</t>
  </si>
  <si>
    <t>Ιουν-23</t>
  </si>
  <si>
    <t>Ιουλ-23</t>
  </si>
  <si>
    <t>Αυγ-23</t>
  </si>
  <si>
    <t>Σεπ-23</t>
  </si>
  <si>
    <t>Οκτ-23</t>
  </si>
  <si>
    <t>Νοε-23</t>
  </si>
  <si>
    <t>Δεκ-23</t>
  </si>
  <si>
    <t>Ιαν-24</t>
  </si>
  <si>
    <t>Φεβ-24</t>
  </si>
  <si>
    <t>Μαρ-24</t>
  </si>
  <si>
    <t>Απρ-24</t>
  </si>
  <si>
    <t>Μαϊ-24</t>
  </si>
  <si>
    <t>Ιουν-24</t>
  </si>
  <si>
    <t>Ιουλ-24</t>
  </si>
  <si>
    <t>Αυγ-24</t>
  </si>
  <si>
    <t>Σεπ-24</t>
  </si>
  <si>
    <t>Οκτ-24</t>
  </si>
  <si>
    <t>Νοε-24</t>
  </si>
  <si>
    <t>Δεκ-24</t>
  </si>
  <si>
    <t>Ιαν-25</t>
  </si>
  <si>
    <t>Φεβ-25</t>
  </si>
  <si>
    <t>Μαρ-25</t>
  </si>
  <si>
    <t>Απρ-25</t>
  </si>
  <si>
    <t>Μαϊ-25</t>
  </si>
  <si>
    <t>Ιουν-25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</si>
  <si>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</si>
  <si>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</si>
  <si>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</si>
  <si>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</si>
  <si>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</si>
  <si>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</si>
  <si>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</si>
  <si>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</si>
  <si>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</si>
  <si>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</si>
  <si>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</si>
  <si>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</si>
  <si>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</si>
  <si>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</si>
  <si>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Column17</t>
  </si>
  <si>
    <t>Column18</t>
  </si>
  <si>
    <t>Column19</t>
  </si>
  <si>
    <t>Column20</t>
  </si>
  <si>
    <t>Column21</t>
  </si>
  <si>
    <t>Column22</t>
  </si>
  <si>
    <t>Column23</t>
  </si>
  <si>
    <t>Column24</t>
  </si>
  <si>
    <t>Column25</t>
  </si>
  <si>
    <t>Column26</t>
  </si>
  <si>
    <t>Column27</t>
  </si>
  <si>
    <t>Column28</t>
  </si>
  <si>
    <t>Column29</t>
  </si>
  <si>
    <t>Column30</t>
  </si>
  <si>
    <t>Column31</t>
  </si>
  <si>
    <t>Column32</t>
  </si>
  <si>
    <t>Column33</t>
  </si>
  <si>
    <t>Column34</t>
  </si>
  <si>
    <t>Column35</t>
  </si>
  <si>
    <t>Column36</t>
  </si>
  <si>
    <t>Column37</t>
  </si>
  <si>
    <t>Column38</t>
  </si>
  <si>
    <t xml:space="preserve">sum </t>
  </si>
  <si>
    <t>Στήλη1</t>
  </si>
  <si>
    <t xml:space="preserve">Cumulative Return </t>
  </si>
  <si>
    <t>Performance Category</t>
  </si>
  <si>
    <t xml:space="preserve">Beta </t>
  </si>
  <si>
    <t xml:space="preserve">Total Monthly Return </t>
  </si>
  <si>
    <t xml:space="preserve">Stats </t>
  </si>
  <si>
    <t>Metric</t>
  </si>
  <si>
    <t xml:space="preserve">PAB Portfolio </t>
  </si>
  <si>
    <t>Benchmark - Eurostoxx6600</t>
  </si>
  <si>
    <t>Final Cumulative Return</t>
  </si>
  <si>
    <t>Average Monthly Return</t>
  </si>
  <si>
    <t>Best Month</t>
  </si>
  <si>
    <t>Worst Month</t>
  </si>
  <si>
    <t>Standard Deviation (monthly)</t>
  </si>
  <si>
    <t>Sharpe Ratio (Yearly)</t>
  </si>
  <si>
    <t xml:space="preserve">Tracking Error </t>
  </si>
  <si>
    <t>Information Ratio</t>
  </si>
  <si>
    <t>Running Peak</t>
  </si>
  <si>
    <t>Trough Value</t>
  </si>
  <si>
    <t>Maximum Drawdown</t>
  </si>
  <si>
    <t>CAGR</t>
  </si>
  <si>
    <t>Beta</t>
  </si>
  <si>
    <t>R²</t>
  </si>
  <si>
    <t>PAB Portfolio Return</t>
  </si>
  <si>
    <t>Cummulative Return</t>
  </si>
  <si>
    <t>Column1</t>
  </si>
  <si>
    <t>Column2</t>
  </si>
  <si>
    <t>Column39</t>
  </si>
  <si>
    <t>Column40</t>
  </si>
  <si>
    <t>Column41</t>
  </si>
  <si>
    <t>Column42</t>
  </si>
  <si>
    <t>Column43</t>
  </si>
  <si>
    <t>Column44</t>
  </si>
  <si>
    <t>Column45</t>
  </si>
  <si>
    <t>Column46</t>
  </si>
  <si>
    <t>Column47</t>
  </si>
  <si>
    <t>Column48</t>
  </si>
  <si>
    <t>Column49</t>
  </si>
  <si>
    <t>Column50</t>
  </si>
  <si>
    <t>Column51</t>
  </si>
  <si>
    <t>Column52</t>
  </si>
  <si>
    <t>Column53</t>
  </si>
  <si>
    <t>Column54</t>
  </si>
  <si>
    <t>Column55</t>
  </si>
  <si>
    <t>Column56</t>
  </si>
  <si>
    <t>Column58</t>
  </si>
  <si>
    <t>Column59</t>
  </si>
  <si>
    <t>Stoxx</t>
  </si>
  <si>
    <t>Eurostox600</t>
  </si>
  <si>
    <t>Rebalance Marker</t>
  </si>
  <si>
    <t xml:space="preserve">Monthly Return </t>
  </si>
  <si>
    <t>Return</t>
  </si>
  <si>
    <t xml:space="preserve">Average of Total Monthly Return </t>
  </si>
  <si>
    <t>Count of Company</t>
  </si>
  <si>
    <t>Count of Performance Category</t>
  </si>
  <si>
    <t xml:space="preserve">Total </t>
  </si>
  <si>
    <t>Positive</t>
  </si>
  <si>
    <t>High Positive</t>
  </si>
  <si>
    <t>Negative</t>
  </si>
  <si>
    <t>Grand Total</t>
  </si>
  <si>
    <t>Portfolio Return</t>
  </si>
  <si>
    <t>EuroStoxx 600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</si>
</sst>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000"/>
    <numFmt numFmtId="165" formatCode="0.0"/>
    <numFmt numFmtId="166" formatCode="0.000"/>
    <numFmt numFmtId="167" formatCode="[$-409]mmm\-yy;@"/>
    <numFmt numFmtId="168" formatCode="0.000000"/>
    <numFmt numFmtId="169" formatCode="0.00000"/>
    <numFmt numFmtId="170" formatCode="0.0000000"/>
    <numFmt numFmtId="173" formatCode="[$-408]d\-mmm;@"/>
  </numFmts>
  <fonts count="25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0000"/>
      <name val="Calibri"/>
      <family val="2"/>
      <charset val="161"/>
    </font>
    <font>
      <sz val="11"/>
      <color rgb="FF9C0006"/>
      <name val="Calibri"/>
      <scheme val="minor"/>
    </font>
    <font>
      <sz val="11"/>
      <color rgb="FF000000"/>
      <name val="Aptos Narrow"/>
      <charset val="1"/>
    </font>
    <font>
      <sz val="12"/>
      <name val="Times New Roman"/>
      <charset val="1"/>
    </font>
    <font>
      <b/>
      <sz val="11"/>
      <color theme="0"/>
      <name val="Aptos Narrow"/>
      <family val="2"/>
      <scheme val="minor"/>
    </font>
    <font>
      <sz val="11"/>
      <color rgb="FFC00000"/>
      <name val="Aptos Narrow"/>
      <family val="2"/>
      <scheme val="minor"/>
    </font>
    <font>
      <sz val="11"/>
      <color rgb="FF000000"/>
      <name val="Aptos Narrow"/>
      <family val="2"/>
    </font>
    <font>
      <sz val="11"/>
      <color theme="0"/>
      <name val="Aptos Narrow"/>
      <family val="2"/>
      <scheme val="minor"/>
    </font>
    <font>
      <b/>
      <sz val="11"/>
      <color rgb="FF000000"/>
      <name val="Aptos Narrow"/>
      <family val="2"/>
    </font>
    <font>
      <b/>
      <sz val="11"/>
      <color rgb="FF000000"/>
      <name val="Aptos Narrow"/>
      <family val="2"/>
      <charset val="161"/>
    </font>
    <font>
      <sz val="11"/>
      <color rgb="FF000000"/>
      <name val="Aptos Narrow"/>
      <family val="2"/>
      <charset val="161"/>
    </font>
    <font>
      <b/>
      <sz val="11"/>
      <color rgb="FF002060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rgb="FF000000"/>
      <name val="Calibri"/>
      <family val="2"/>
      <charset val="161"/>
    </font>
    <font>
      <b/>
      <sz val="11"/>
      <color theme="1"/>
      <name val="Aptos Narrow"/>
      <family val="2"/>
    </font>
    <font>
      <sz val="11"/>
      <color theme="3" tint="9.9978637043366805E-2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b/>
      <sz val="11"/>
      <color theme="3"/>
      <name val="Aptos Narrow"/>
      <family val="2"/>
    </font>
    <font>
      <sz val="11"/>
      <color theme="3"/>
      <name val="Aptos Narrow"/>
      <family val="2"/>
      <scheme val="minor"/>
    </font>
    <font>
      <sz val="11"/>
      <color theme="0"/>
      <name val="Aptos Narrow"/>
      <family val="2"/>
    </font>
    <font>
      <b/>
      <sz val="11"/>
      <color theme="0"/>
      <name val="Aptos Narrow"/>
      <family val="2"/>
    </font>
  </fonts>
  <fills count="2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7CE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rgb="FF002060"/>
        <bgColor indexed="64"/>
      </patternFill>
    </fill>
  </fills>
  <borders count="33">
    <border>
      <left/>
      <right/>
      <top/>
      <bottom/>
      <diagonal/>
    </border>
    <border>
      <left style="thin">
        <color theme="4" tint="-0.249977111117893"/>
      </left>
      <right/>
      <top/>
      <bottom/>
      <diagonal/>
    </border>
    <border>
      <left/>
      <right style="thin">
        <color theme="4" tint="-0.249977111117893"/>
      </right>
      <top/>
      <bottom/>
      <diagonal/>
    </border>
    <border>
      <left style="thin">
        <color theme="4" tint="-0.249977111117893"/>
      </left>
      <right/>
      <top/>
      <bottom style="thin">
        <color theme="4" tint="-0.249977111117893"/>
      </bottom>
      <diagonal/>
    </border>
    <border>
      <left/>
      <right/>
      <top/>
      <bottom style="thin">
        <color theme="4" tint="-0.249977111117893"/>
      </bottom>
      <diagonal/>
    </border>
    <border>
      <left/>
      <right style="thin">
        <color theme="4" tint="-0.249977111117893"/>
      </right>
      <top/>
      <bottom style="thin">
        <color theme="4" tint="-0.249977111117893"/>
      </bottom>
      <diagonal/>
    </border>
    <border>
      <left/>
      <right/>
      <top/>
      <bottom style="thin">
        <color rgb="FF104861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theme="4" tint="-0.249977111117893"/>
      </right>
      <top style="medium">
        <color rgb="FF000000"/>
      </top>
      <bottom style="thin">
        <color theme="4" tint="-0.249977111117893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theme="4" tint="-0.249977111117893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 style="thin">
        <color rgb="FF44B3E1"/>
      </top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12" borderId="0" applyNumberFormat="0" applyBorder="0" applyAlignment="0" applyProtection="0"/>
  </cellStyleXfs>
  <cellXfs count="184">
    <xf numFmtId="0" fontId="0" fillId="0" borderId="0" xfId="0"/>
    <xf numFmtId="9" fontId="0" fillId="0" borderId="0" xfId="1" applyFont="1"/>
    <xf numFmtId="10" fontId="0" fillId="0" borderId="0" xfId="1" applyNumberFormat="1" applyFont="1"/>
    <xf numFmtId="0" fontId="0" fillId="2" borderId="0" xfId="0" applyFill="1"/>
    <xf numFmtId="10" fontId="0" fillId="2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4" borderId="0" xfId="0" applyFill="1"/>
    <xf numFmtId="10" fontId="0" fillId="4" borderId="0" xfId="1" applyNumberFormat="1" applyFont="1" applyFill="1"/>
    <xf numFmtId="0" fontId="0" fillId="5" borderId="0" xfId="0" applyFill="1"/>
    <xf numFmtId="10" fontId="0" fillId="5" borderId="0" xfId="1" applyNumberFormat="1" applyFont="1" applyFill="1"/>
    <xf numFmtId="0" fontId="0" fillId="6" borderId="0" xfId="0" applyFill="1"/>
    <xf numFmtId="10" fontId="0" fillId="6" borderId="0" xfId="1" applyNumberFormat="1" applyFont="1" applyFill="1"/>
    <xf numFmtId="0" fontId="0" fillId="7" borderId="0" xfId="0" applyFill="1"/>
    <xf numFmtId="10" fontId="0" fillId="7" borderId="0" xfId="1" applyNumberFormat="1" applyFont="1" applyFill="1"/>
    <xf numFmtId="0" fontId="0" fillId="8" borderId="0" xfId="0" applyFill="1"/>
    <xf numFmtId="10" fontId="0" fillId="8" borderId="0" xfId="1" applyNumberFormat="1" applyFont="1" applyFill="1"/>
    <xf numFmtId="0" fontId="0" fillId="9" borderId="0" xfId="0" applyFill="1"/>
    <xf numFmtId="10" fontId="0" fillId="9" borderId="0" xfId="1" applyNumberFormat="1" applyFont="1" applyFill="1"/>
    <xf numFmtId="0" fontId="0" fillId="10" borderId="0" xfId="0" applyFill="1"/>
    <xf numFmtId="10" fontId="0" fillId="10" borderId="0" xfId="1" applyNumberFormat="1" applyFont="1" applyFill="1"/>
    <xf numFmtId="0" fontId="0" fillId="11" borderId="0" xfId="0" applyFill="1"/>
    <xf numFmtId="10" fontId="0" fillId="11" borderId="0" xfId="1" applyNumberFormat="1" applyFont="1" applyFill="1"/>
    <xf numFmtId="0" fontId="2" fillId="0" borderId="0" xfId="0" applyFont="1"/>
    <xf numFmtId="10" fontId="0" fillId="0" borderId="0" xfId="0" applyNumberFormat="1"/>
    <xf numFmtId="164" fontId="0" fillId="0" borderId="0" xfId="0" applyNumberFormat="1"/>
    <xf numFmtId="0" fontId="3" fillId="0" borderId="0" xfId="0" applyFont="1"/>
    <xf numFmtId="10" fontId="2" fillId="0" borderId="0" xfId="0" applyNumberFormat="1" applyFont="1"/>
    <xf numFmtId="2" fontId="0" fillId="2" borderId="0" xfId="0" applyNumberFormat="1" applyFill="1"/>
    <xf numFmtId="165" fontId="0" fillId="2" borderId="0" xfId="0" applyNumberFormat="1" applyFill="1"/>
    <xf numFmtId="165" fontId="0" fillId="3" borderId="0" xfId="0" applyNumberFormat="1" applyFill="1"/>
    <xf numFmtId="165" fontId="0" fillId="0" borderId="0" xfId="0" applyNumberFormat="1"/>
    <xf numFmtId="165" fontId="0" fillId="4" borderId="0" xfId="0" applyNumberFormat="1" applyFill="1"/>
    <xf numFmtId="165" fontId="0" fillId="5" borderId="0" xfId="0" applyNumberFormat="1" applyFill="1"/>
    <xf numFmtId="165" fontId="0" fillId="6" borderId="0" xfId="0" applyNumberFormat="1" applyFill="1"/>
    <xf numFmtId="165" fontId="0" fillId="8" borderId="0" xfId="0" applyNumberFormat="1" applyFill="1"/>
    <xf numFmtId="165" fontId="0" fillId="7" borderId="0" xfId="0" applyNumberFormat="1" applyFill="1"/>
    <xf numFmtId="10" fontId="0" fillId="7" borderId="0" xfId="1" applyNumberFormat="1" applyFont="1" applyFill="1" applyAlignment="1">
      <alignment horizontal="right"/>
    </xf>
    <xf numFmtId="165" fontId="0" fillId="10" borderId="0" xfId="0" applyNumberFormat="1" applyFill="1"/>
    <xf numFmtId="165" fontId="0" fillId="9" borderId="0" xfId="0" applyNumberFormat="1" applyFill="1"/>
    <xf numFmtId="165" fontId="0" fillId="11" borderId="0" xfId="0" applyNumberFormat="1" applyFill="1"/>
    <xf numFmtId="0" fontId="0" fillId="0" borderId="0" xfId="0" applyAlignment="1">
      <alignment horizontal="center"/>
    </xf>
    <xf numFmtId="0" fontId="2" fillId="13" borderId="0" xfId="0" applyFont="1" applyFill="1"/>
    <xf numFmtId="0" fontId="2" fillId="13" borderId="1" xfId="0" applyFont="1" applyFill="1" applyBorder="1"/>
    <xf numFmtId="0" fontId="0" fillId="0" borderId="4" xfId="0" applyBorder="1"/>
    <xf numFmtId="0" fontId="2" fillId="0" borderId="1" xfId="0" applyFont="1" applyBorder="1"/>
    <xf numFmtId="0" fontId="2" fillId="0" borderId="3" xfId="0" applyFont="1" applyBorder="1"/>
    <xf numFmtId="0" fontId="2" fillId="0" borderId="4" xfId="0" applyFont="1" applyBorder="1"/>
    <xf numFmtId="10" fontId="0" fillId="0" borderId="0" xfId="0" applyNumberFormat="1" applyAlignment="1">
      <alignment horizontal="center"/>
    </xf>
    <xf numFmtId="10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2" fontId="0" fillId="2" borderId="0" xfId="1" applyNumberFormat="1" applyFont="1" applyFill="1"/>
    <xf numFmtId="2" fontId="2" fillId="0" borderId="0" xfId="0" applyNumberFormat="1" applyFont="1"/>
    <xf numFmtId="10" fontId="0" fillId="0" borderId="2" xfId="0" applyNumberFormat="1" applyBorder="1"/>
    <xf numFmtId="10" fontId="8" fillId="0" borderId="0" xfId="0" applyNumberFormat="1" applyFont="1"/>
    <xf numFmtId="0" fontId="9" fillId="0" borderId="0" xfId="0" applyFont="1"/>
    <xf numFmtId="0" fontId="9" fillId="0" borderId="6" xfId="0" applyFont="1" applyBorder="1"/>
    <xf numFmtId="1" fontId="0" fillId="0" borderId="0" xfId="0" applyNumberFormat="1"/>
    <xf numFmtId="10" fontId="0" fillId="15" borderId="0" xfId="0" applyNumberFormat="1" applyFill="1"/>
    <xf numFmtId="10" fontId="0" fillId="16" borderId="0" xfId="0" applyNumberFormat="1" applyFill="1"/>
    <xf numFmtId="1" fontId="2" fillId="0" borderId="0" xfId="0" applyNumberFormat="1" applyFont="1"/>
    <xf numFmtId="0" fontId="13" fillId="0" borderId="0" xfId="0" applyFont="1"/>
    <xf numFmtId="0" fontId="0" fillId="17" borderId="0" xfId="0" applyFill="1"/>
    <xf numFmtId="0" fontId="0" fillId="18" borderId="0" xfId="0" applyFill="1"/>
    <xf numFmtId="0" fontId="0" fillId="18" borderId="0" xfId="0" applyFill="1" applyAlignment="1">
      <alignment wrapText="1"/>
    </xf>
    <xf numFmtId="0" fontId="0" fillId="18" borderId="0" xfId="0" applyFill="1" applyAlignment="1">
      <alignment horizontal="right"/>
    </xf>
    <xf numFmtId="0" fontId="2" fillId="18" borderId="14" xfId="0" applyFont="1" applyFill="1" applyBorder="1"/>
    <xf numFmtId="0" fontId="12" fillId="18" borderId="13" xfId="0" applyFont="1" applyFill="1" applyBorder="1"/>
    <xf numFmtId="10" fontId="0" fillId="18" borderId="0" xfId="0" applyNumberFormat="1" applyFill="1"/>
    <xf numFmtId="10" fontId="0" fillId="17" borderId="0" xfId="0" applyNumberFormat="1" applyFill="1"/>
    <xf numFmtId="0" fontId="14" fillId="14" borderId="0" xfId="0" applyFont="1" applyFill="1"/>
    <xf numFmtId="0" fontId="15" fillId="0" borderId="0" xfId="0" applyFont="1" applyAlignment="1">
      <alignment horizontal="center"/>
    </xf>
    <xf numFmtId="0" fontId="0" fillId="19" borderId="0" xfId="0" applyFill="1"/>
    <xf numFmtId="0" fontId="3" fillId="0" borderId="0" xfId="0" applyFont="1" applyAlignment="1">
      <alignment horizontal="center"/>
    </xf>
    <xf numFmtId="0" fontId="0" fillId="17" borderId="0" xfId="0" applyFill="1" applyAlignment="1">
      <alignment horizontal="center"/>
    </xf>
    <xf numFmtId="10" fontId="0" fillId="0" borderId="0" xfId="1" applyNumberFormat="1" applyFont="1" applyAlignment="1">
      <alignment horizontal="center"/>
    </xf>
    <xf numFmtId="0" fontId="10" fillId="20" borderId="0" xfId="0" applyFont="1" applyFill="1"/>
    <xf numFmtId="0" fontId="7" fillId="20" borderId="0" xfId="0" applyFont="1" applyFill="1"/>
    <xf numFmtId="0" fontId="7" fillId="20" borderId="0" xfId="0" applyFont="1" applyFill="1" applyAlignment="1">
      <alignment horizontal="center"/>
    </xf>
    <xf numFmtId="0" fontId="7" fillId="20" borderId="0" xfId="0" applyFont="1" applyFill="1" applyAlignment="1">
      <alignment horizontal="center" wrapText="1"/>
    </xf>
    <xf numFmtId="10" fontId="0" fillId="0" borderId="0" xfId="1" applyNumberFormat="1" applyFont="1" applyBorder="1" applyAlignment="1">
      <alignment horizontal="center"/>
    </xf>
    <xf numFmtId="10" fontId="0" fillId="0" borderId="2" xfId="0" applyNumberFormat="1" applyBorder="1" applyAlignment="1">
      <alignment horizontal="center"/>
    </xf>
    <xf numFmtId="166" fontId="0" fillId="0" borderId="0" xfId="0" applyNumberFormat="1" applyAlignment="1">
      <alignment horizontal="center"/>
    </xf>
    <xf numFmtId="10" fontId="2" fillId="0" borderId="2" xfId="0" applyNumberFormat="1" applyFont="1" applyBorder="1" applyAlignment="1">
      <alignment horizontal="center"/>
    </xf>
    <xf numFmtId="164" fontId="0" fillId="0" borderId="0" xfId="0" applyNumberFormat="1" applyAlignment="1">
      <alignment horizontal="center"/>
    </xf>
    <xf numFmtId="10" fontId="15" fillId="0" borderId="0" xfId="0" applyNumberFormat="1" applyFont="1" applyAlignment="1">
      <alignment horizontal="center"/>
    </xf>
    <xf numFmtId="10" fontId="0" fillId="0" borderId="4" xfId="1" applyNumberFormat="1" applyFont="1" applyBorder="1" applyAlignment="1">
      <alignment horizontal="center"/>
    </xf>
    <xf numFmtId="10" fontId="0" fillId="0" borderId="5" xfId="0" applyNumberFormat="1" applyBorder="1" applyAlignment="1">
      <alignment horizontal="center"/>
    </xf>
    <xf numFmtId="10" fontId="2" fillId="0" borderId="5" xfId="0" applyNumberFormat="1" applyFont="1" applyBorder="1" applyAlignment="1">
      <alignment horizontal="center"/>
    </xf>
    <xf numFmtId="0" fontId="7" fillId="20" borderId="0" xfId="0" applyFont="1" applyFill="1" applyAlignment="1">
      <alignment horizontal="left"/>
    </xf>
    <xf numFmtId="0" fontId="7" fillId="20" borderId="0" xfId="0" applyFont="1" applyFill="1" applyAlignment="1">
      <alignment horizontal="left" wrapText="1"/>
    </xf>
    <xf numFmtId="10" fontId="7" fillId="20" borderId="0" xfId="0" applyNumberFormat="1" applyFont="1" applyFill="1" applyAlignment="1">
      <alignment horizontal="center"/>
    </xf>
    <xf numFmtId="0" fontId="0" fillId="20" borderId="0" xfId="0" applyFill="1" applyAlignment="1">
      <alignment horizontal="center"/>
    </xf>
    <xf numFmtId="164" fontId="7" fillId="20" borderId="0" xfId="0" applyNumberFormat="1" applyFont="1" applyFill="1" applyAlignment="1">
      <alignment horizontal="center"/>
    </xf>
    <xf numFmtId="2" fontId="4" fillId="12" borderId="0" xfId="2" applyNumberFormat="1" applyBorder="1" applyAlignment="1">
      <alignment horizontal="center"/>
    </xf>
    <xf numFmtId="0" fontId="10" fillId="20" borderId="0" xfId="0" applyFont="1" applyFill="1" applyAlignment="1">
      <alignment wrapText="1"/>
    </xf>
    <xf numFmtId="0" fontId="6" fillId="0" borderId="0" xfId="0" applyFont="1" applyAlignment="1">
      <alignment wrapText="1"/>
    </xf>
    <xf numFmtId="0" fontId="10" fillId="20" borderId="18" xfId="0" applyFont="1" applyFill="1" applyBorder="1"/>
    <xf numFmtId="0" fontId="0" fillId="0" borderId="12" xfId="0" applyBorder="1"/>
    <xf numFmtId="0" fontId="0" fillId="0" borderId="18" xfId="0" applyBorder="1"/>
    <xf numFmtId="10" fontId="0" fillId="0" borderId="18" xfId="0" applyNumberFormat="1" applyBorder="1"/>
    <xf numFmtId="0" fontId="2" fillId="0" borderId="12" xfId="0" applyFont="1" applyBorder="1"/>
    <xf numFmtId="10" fontId="2" fillId="0" borderId="12" xfId="0" applyNumberFormat="1" applyFont="1" applyBorder="1"/>
    <xf numFmtId="0" fontId="10" fillId="20" borderId="18" xfId="0" applyFont="1" applyFill="1" applyBorder="1" applyAlignment="1">
      <alignment wrapText="1"/>
    </xf>
    <xf numFmtId="0" fontId="2" fillId="17" borderId="0" xfId="0" applyFont="1" applyFill="1"/>
    <xf numFmtId="10" fontId="0" fillId="0" borderId="12" xfId="0" applyNumberFormat="1" applyBorder="1"/>
    <xf numFmtId="0" fontId="9" fillId="17" borderId="0" xfId="0" applyFont="1" applyFill="1"/>
    <xf numFmtId="10" fontId="9" fillId="17" borderId="0" xfId="0" applyNumberFormat="1" applyFont="1" applyFill="1"/>
    <xf numFmtId="17" fontId="9" fillId="17" borderId="0" xfId="0" applyNumberFormat="1" applyFont="1" applyFill="1"/>
    <xf numFmtId="10" fontId="2" fillId="17" borderId="2" xfId="0" applyNumberFormat="1" applyFont="1" applyFill="1" applyBorder="1"/>
    <xf numFmtId="0" fontId="11" fillId="17" borderId="0" xfId="0" applyFont="1" applyFill="1"/>
    <xf numFmtId="0" fontId="16" fillId="17" borderId="0" xfId="0" applyFont="1" applyFill="1"/>
    <xf numFmtId="0" fontId="9" fillId="17" borderId="0" xfId="0" applyFont="1" applyFill="1" applyAlignment="1">
      <alignment horizontal="center"/>
    </xf>
    <xf numFmtId="169" fontId="9" fillId="17" borderId="0" xfId="0" applyNumberFormat="1" applyFont="1" applyFill="1" applyAlignment="1">
      <alignment horizontal="center"/>
    </xf>
    <xf numFmtId="0" fontId="2" fillId="17" borderId="15" xfId="0" applyFont="1" applyFill="1" applyBorder="1"/>
    <xf numFmtId="0" fontId="0" fillId="17" borderId="15" xfId="0" applyFill="1" applyBorder="1"/>
    <xf numFmtId="10" fontId="7" fillId="21" borderId="8" xfId="0" applyNumberFormat="1" applyFont="1" applyFill="1" applyBorder="1"/>
    <xf numFmtId="0" fontId="17" fillId="17" borderId="0" xfId="0" applyFont="1" applyFill="1"/>
    <xf numFmtId="0" fontId="17" fillId="17" borderId="0" xfId="0" applyFont="1" applyFill="1" applyAlignment="1">
      <alignment horizontal="center"/>
    </xf>
    <xf numFmtId="10" fontId="7" fillId="21" borderId="10" xfId="0" applyNumberFormat="1" applyFont="1" applyFill="1" applyBorder="1"/>
    <xf numFmtId="0" fontId="19" fillId="19" borderId="7" xfId="0" applyFont="1" applyFill="1" applyBorder="1"/>
    <xf numFmtId="10" fontId="19" fillId="19" borderId="11" xfId="0" applyNumberFormat="1" applyFont="1" applyFill="1" applyBorder="1"/>
    <xf numFmtId="0" fontId="19" fillId="17" borderId="0" xfId="0" applyFont="1" applyFill="1"/>
    <xf numFmtId="0" fontId="19" fillId="19" borderId="9" xfId="0" applyFont="1" applyFill="1" applyBorder="1"/>
    <xf numFmtId="10" fontId="19" fillId="19" borderId="10" xfId="0" applyNumberFormat="1" applyFont="1" applyFill="1" applyBorder="1"/>
    <xf numFmtId="10" fontId="11" fillId="19" borderId="12" xfId="0" applyNumberFormat="1" applyFont="1" applyFill="1" applyBorder="1"/>
    <xf numFmtId="10" fontId="20" fillId="17" borderId="2" xfId="0" applyNumberFormat="1" applyFont="1" applyFill="1" applyBorder="1"/>
    <xf numFmtId="10" fontId="20" fillId="21" borderId="8" xfId="0" applyNumberFormat="1" applyFont="1" applyFill="1" applyBorder="1"/>
    <xf numFmtId="10" fontId="20" fillId="21" borderId="10" xfId="0" applyNumberFormat="1" applyFont="1" applyFill="1" applyBorder="1"/>
    <xf numFmtId="0" fontId="22" fillId="17" borderId="0" xfId="0" applyFont="1" applyFill="1"/>
    <xf numFmtId="10" fontId="22" fillId="17" borderId="0" xfId="0" applyNumberFormat="1" applyFont="1" applyFill="1"/>
    <xf numFmtId="10" fontId="20" fillId="19" borderId="11" xfId="0" applyNumberFormat="1" applyFont="1" applyFill="1" applyBorder="1"/>
    <xf numFmtId="10" fontId="21" fillId="19" borderId="12" xfId="0" applyNumberFormat="1" applyFont="1" applyFill="1" applyBorder="1"/>
    <xf numFmtId="0" fontId="18" fillId="17" borderId="19" xfId="0" applyFont="1" applyFill="1" applyBorder="1"/>
    <xf numFmtId="10" fontId="18" fillId="17" borderId="19" xfId="0" applyNumberFormat="1" applyFont="1" applyFill="1" applyBorder="1"/>
    <xf numFmtId="10" fontId="22" fillId="17" borderId="19" xfId="0" applyNumberFormat="1" applyFont="1" applyFill="1" applyBorder="1"/>
    <xf numFmtId="0" fontId="0" fillId="17" borderId="20" xfId="0" applyFill="1" applyBorder="1"/>
    <xf numFmtId="0" fontId="18" fillId="17" borderId="21" xfId="0" applyFont="1" applyFill="1" applyBorder="1"/>
    <xf numFmtId="0" fontId="23" fillId="21" borderId="0" xfId="0" applyFont="1" applyFill="1"/>
    <xf numFmtId="0" fontId="23" fillId="21" borderId="0" xfId="0" applyFont="1" applyFill="1" applyAlignment="1">
      <alignment horizontal="center"/>
    </xf>
    <xf numFmtId="10" fontId="23" fillId="21" borderId="0" xfId="0" applyNumberFormat="1" applyFont="1" applyFill="1" applyAlignment="1">
      <alignment horizontal="center"/>
    </xf>
    <xf numFmtId="10" fontId="0" fillId="17" borderId="0" xfId="0" applyNumberFormat="1" applyFill="1" applyAlignment="1">
      <alignment horizontal="center"/>
    </xf>
    <xf numFmtId="0" fontId="0" fillId="17" borderId="22" xfId="0" applyFill="1" applyBorder="1"/>
    <xf numFmtId="0" fontId="0" fillId="17" borderId="23" xfId="0" applyFill="1" applyBorder="1"/>
    <xf numFmtId="0" fontId="0" fillId="17" borderId="24" xfId="0" applyFill="1" applyBorder="1"/>
    <xf numFmtId="0" fontId="0" fillId="17" borderId="25" xfId="0" applyFill="1" applyBorder="1"/>
    <xf numFmtId="0" fontId="0" fillId="17" borderId="26" xfId="0" applyFill="1" applyBorder="1"/>
    <xf numFmtId="0" fontId="0" fillId="17" borderId="27" xfId="0" applyFill="1" applyBorder="1"/>
    <xf numFmtId="0" fontId="0" fillId="17" borderId="28" xfId="0" applyFill="1" applyBorder="1"/>
    <xf numFmtId="0" fontId="0" fillId="17" borderId="29" xfId="0" applyFill="1" applyBorder="1"/>
    <xf numFmtId="0" fontId="0" fillId="17" borderId="30" xfId="0" applyFill="1" applyBorder="1"/>
    <xf numFmtId="0" fontId="0" fillId="17" borderId="31" xfId="0" applyFill="1" applyBorder="1"/>
    <xf numFmtId="10" fontId="7" fillId="21" borderId="2" xfId="0" applyNumberFormat="1" applyFont="1" applyFill="1" applyBorder="1" applyAlignment="1">
      <alignment horizontal="center"/>
    </xf>
    <xf numFmtId="10" fontId="20" fillId="17" borderId="15" xfId="0" applyNumberFormat="1" applyFont="1" applyFill="1" applyBorder="1" applyAlignment="1">
      <alignment horizontal="center"/>
    </xf>
    <xf numFmtId="10" fontId="22" fillId="17" borderId="32" xfId="0" applyNumberFormat="1" applyFont="1" applyFill="1" applyBorder="1"/>
    <xf numFmtId="0" fontId="24" fillId="21" borderId="0" xfId="0" applyFont="1" applyFill="1" applyAlignment="1">
      <alignment horizontal="center"/>
    </xf>
    <xf numFmtId="0" fontId="0" fillId="21" borderId="0" xfId="0" applyFill="1"/>
    <xf numFmtId="169" fontId="9" fillId="21" borderId="0" xfId="0" applyNumberFormat="1" applyFont="1" applyFill="1" applyAlignment="1">
      <alignment horizontal="center"/>
    </xf>
    <xf numFmtId="0" fontId="17" fillId="21" borderId="0" xfId="0" applyFont="1" applyFill="1" applyAlignment="1">
      <alignment horizontal="center"/>
    </xf>
    <xf numFmtId="0" fontId="0" fillId="21" borderId="0" xfId="0" applyFill="1" applyAlignment="1">
      <alignment horizontal="center"/>
    </xf>
    <xf numFmtId="0" fontId="2" fillId="21" borderId="0" xfId="0" applyFont="1" applyFill="1"/>
    <xf numFmtId="0" fontId="19" fillId="21" borderId="0" xfId="0" applyFont="1" applyFill="1"/>
    <xf numFmtId="0" fontId="0" fillId="21" borderId="20" xfId="0" applyFill="1" applyBorder="1"/>
    <xf numFmtId="0" fontId="7" fillId="21" borderId="15" xfId="0" applyFont="1" applyFill="1" applyBorder="1"/>
    <xf numFmtId="0" fontId="10" fillId="21" borderId="0" xfId="0" applyFont="1" applyFill="1"/>
    <xf numFmtId="0" fontId="7" fillId="21" borderId="17" xfId="0" applyFont="1" applyFill="1" applyBorder="1"/>
    <xf numFmtId="10" fontId="0" fillId="17" borderId="15" xfId="0" applyNumberFormat="1" applyFill="1" applyBorder="1"/>
    <xf numFmtId="16" fontId="0" fillId="17" borderId="15" xfId="0" applyNumberFormat="1" applyFill="1" applyBorder="1"/>
    <xf numFmtId="168" fontId="0" fillId="17" borderId="16" xfId="0" applyNumberFormat="1" applyFill="1" applyBorder="1"/>
    <xf numFmtId="164" fontId="0" fillId="17" borderId="16" xfId="0" applyNumberFormat="1" applyFill="1" applyBorder="1"/>
    <xf numFmtId="170" fontId="0" fillId="17" borderId="15" xfId="0" applyNumberFormat="1" applyFill="1" applyBorder="1"/>
    <xf numFmtId="10" fontId="0" fillId="17" borderId="16" xfId="0" applyNumberFormat="1" applyFill="1" applyBorder="1"/>
    <xf numFmtId="0" fontId="2" fillId="17" borderId="16" xfId="0" applyFont="1" applyFill="1" applyBorder="1"/>
    <xf numFmtId="10" fontId="7" fillId="21" borderId="0" xfId="0" applyNumberFormat="1" applyFont="1" applyFill="1"/>
    <xf numFmtId="10" fontId="2" fillId="10" borderId="0" xfId="0" applyNumberFormat="1" applyFont="1" applyFill="1"/>
    <xf numFmtId="167" fontId="11" fillId="0" borderId="0" xfId="0" applyNumberFormat="1" applyFont="1"/>
    <xf numFmtId="17" fontId="11" fillId="0" borderId="0" xfId="0" applyNumberFormat="1" applyFont="1"/>
    <xf numFmtId="0" fontId="24" fillId="21" borderId="0" xfId="0" applyFont="1" applyFill="1"/>
    <xf numFmtId="169" fontId="9" fillId="17" borderId="15" xfId="0" applyNumberFormat="1" applyFont="1" applyFill="1" applyBorder="1" applyAlignment="1">
      <alignment horizontal="center"/>
    </xf>
    <xf numFmtId="169" fontId="15" fillId="17" borderId="15" xfId="0" applyNumberFormat="1" applyFont="1" applyFill="1" applyBorder="1" applyAlignment="1">
      <alignment horizontal="center"/>
    </xf>
    <xf numFmtId="10" fontId="0" fillId="17" borderId="15" xfId="1" applyNumberFormat="1" applyFont="1" applyFill="1" applyBorder="1" applyAlignment="1"/>
    <xf numFmtId="10" fontId="0" fillId="17" borderId="16" xfId="0" applyNumberFormat="1" applyFill="1" applyBorder="1" applyAlignment="1">
      <alignment horizontal="right"/>
    </xf>
    <xf numFmtId="168" fontId="0" fillId="17" borderId="15" xfId="0" applyNumberFormat="1" applyFill="1" applyBorder="1" applyAlignment="1">
      <alignment horizontal="right"/>
    </xf>
    <xf numFmtId="173" fontId="23" fillId="21" borderId="0" xfId="0" applyNumberFormat="1" applyFont="1" applyFill="1"/>
  </cellXfs>
  <cellStyles count="3">
    <cellStyle name="Κακό" xfId="2" builtinId="27"/>
    <cellStyle name="Κανονικό" xfId="0" builtinId="0"/>
    <cellStyle name="Ποσοστό" xfId="1" builtinId="5"/>
  </cellStyles>
  <dxfs count="402">
    <dxf>
      <font>
        <b/>
        <color rgb="FF000000"/>
      </font>
      <fill>
        <patternFill patternType="solid">
          <fgColor indexed="64"/>
          <bgColor theme="0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0"/>
        </patternFill>
      </fill>
      <alignment horizontal="center"/>
    </dxf>
    <dxf>
      <font>
        <b/>
        <color rgb="FF000000"/>
      </font>
      <numFmt numFmtId="14" formatCode="0.00%"/>
      <fill>
        <patternFill patternType="solid">
          <fgColor indexed="64"/>
          <bgColor theme="0"/>
        </patternFill>
      </fill>
      <border>
        <left style="thick">
          <color theme="4"/>
        </left>
        <right style="thick">
          <color theme="4"/>
        </right>
      </border>
    </dxf>
    <dxf>
      <font>
        <b/>
        <color theme="3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theme="3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theme="3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theme="3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theme="3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theme="3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theme="3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theme="3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numFmt numFmtId="14" formatCode="0.00%"/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fill>
        <patternFill patternType="solid">
          <fgColor indexed="64"/>
          <bgColor theme="4" tint="0.79998168889431442"/>
        </patternFill>
      </fill>
    </dxf>
    <dxf>
      <font>
        <b/>
        <color rgb="FF000000"/>
      </font>
      <fill>
        <patternFill patternType="solid">
          <fgColor indexed="64"/>
          <bgColor theme="4" tint="0.79998168889431442"/>
        </patternFill>
      </fill>
      <border>
        <left style="medium">
          <color rgb="FF000000"/>
        </left>
      </border>
    </dxf>
    <dxf>
      <font>
        <b/>
        <color rgb="FF000000"/>
      </font>
      <fill>
        <patternFill patternType="solid">
          <fgColor indexed="64"/>
          <bgColor theme="0"/>
        </patternFill>
      </fill>
    </dxf>
    <dxf>
      <font>
        <b val="0"/>
        <color theme="1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theme="4" tint="-0.249977111117893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theme="4" tint="-0.249977111117893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theme="4" tint="-0.249977111117893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theme="4" tint="-0.249977111117893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theme="4" tint="-0.249977111117893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theme="4" tint="-0.249977111117893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theme="4" tint="-0.249977111117893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theme="4" tint="-0.249977111117893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theme="4" tint="-0.249977111117893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/>
        <bottom style="thin">
          <color rgb="FF10486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/>
        <bottom style="thin">
          <color rgb="FF10486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theme="4" tint="-0.249977111117893"/>
        </right>
        <top/>
        <bottom style="thin">
          <color theme="4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theme="4" tint="-0.249977111117893"/>
        </right>
        <top/>
        <bottom style="thin">
          <color theme="4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theme="4" tint="-0.249977111117893"/>
        </right>
        <top/>
        <bottom style="thin">
          <color theme="4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theme="4" tint="-0.249977111117893"/>
        </right>
        <top/>
        <bottom style="thin">
          <color theme="4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theme="4" tint="-0.249977111117893"/>
        </right>
        <top/>
        <bottom style="thin">
          <color theme="4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theme="4" tint="-0.249977111117893"/>
        </right>
        <top/>
        <bottom style="thin">
          <color theme="4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theme="4" tint="-0.249977111117893"/>
        </right>
        <top/>
        <bottom style="thin">
          <color theme="4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theme="4" tint="-0.249977111117893"/>
        </right>
        <top/>
        <bottom style="thin">
          <color theme="4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theme="4" tint="-0.249977111117893"/>
        </right>
        <top/>
        <bottom style="thin">
          <color theme="4" tint="-0.249977111117893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theme="4" tint="-0.249977111117893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/>
        <bottom style="thin">
          <color rgb="FF10486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/>
        <bottom style="thin">
          <color rgb="FF10486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n">
          <color rgb="FF10486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n">
          <color rgb="FF10486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3" tint="9.9978637043366805E-2"/>
        </patternFill>
      </fill>
    </dxf>
    <dxf>
      <fill>
        <patternFill patternType="none">
          <fgColor indexed="64"/>
          <bgColor indexed="65"/>
        </patternFill>
      </fill>
    </dxf>
    <dxf>
      <numFmt numFmtId="14" formatCode="0.00%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charset val="1"/>
        <scheme val="none"/>
      </font>
      <alignment horizontal="general" vertical="bottom" textRotation="0" wrapText="0" indent="0" justifyLastLine="0" shrinkToFit="0" readingOrder="1"/>
      <border diagonalUp="0" diagonalDown="0">
        <left/>
        <right style="thin">
          <color rgb="FF000000"/>
        </right>
        <top/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charset val="1"/>
        <scheme val="none"/>
      </font>
      <alignment horizontal="general" vertical="bottom" textRotation="0" wrapText="0" indent="0" justifyLastLine="0" shrinkToFit="0" readingOrder="1"/>
      <border diagonalUp="0" diagonalDown="0">
        <left style="thin">
          <color rgb="FF000000"/>
        </left>
        <right style="thin">
          <color auto="1"/>
        </right>
        <top/>
        <bottom style="thin">
          <color rgb="FF000000"/>
        </bottom>
        <vertical/>
        <horizontal/>
      </border>
    </dxf>
    <dxf>
      <border outline="0">
        <bottom style="thin">
          <color auto="1"/>
        </bottom>
      </border>
    </dxf>
    <dxf>
      <border>
        <top style="thin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3" tint="9.9978637043366805E-2"/>
        </patternFill>
      </fill>
    </dxf>
    <dxf>
      <numFmt numFmtId="14" formatCode="0.00%"/>
    </dxf>
    <dxf>
      <numFmt numFmtId="14" formatCode="0.00%"/>
    </dxf>
    <dxf>
      <fill>
        <patternFill patternType="solid">
          <fgColor indexed="64"/>
          <bgColor theme="2" tint="-9.9978637043366805E-2"/>
        </patternFill>
      </fill>
    </dxf>
    <dxf>
      <fill>
        <patternFill patternType="solid">
          <fgColor indexed="64"/>
          <bgColor theme="2" tint="-9.9978637043366805E-2"/>
        </patternFill>
      </fill>
    </dxf>
    <dxf>
      <fill>
        <patternFill patternType="solid">
          <fgColor indexed="64"/>
          <bgColor theme="2" tint="-9.9978637043366805E-2"/>
        </patternFill>
      </fill>
    </dxf>
    <dxf>
      <fill>
        <patternFill patternType="solid">
          <fgColor indexed="64"/>
          <bgColor theme="2" tint="-9.9978637043366805E-2"/>
        </patternFill>
      </fill>
    </dxf>
    <dxf>
      <alignment wrapText="1"/>
    </dxf>
    <dxf>
      <alignment wrapText="0"/>
    </dxf>
    <dxf>
      <alignment horizontal="right"/>
    </dxf>
    <dxf>
      <fill>
        <patternFill patternType="solid">
          <fgColor indexed="64"/>
          <bgColor theme="2" tint="-9.9978637043366805E-2"/>
        </patternFill>
      </fill>
    </dxf>
    <dxf>
      <fill>
        <patternFill patternType="solid">
          <fgColor indexed="64"/>
          <bgColor theme="2" tint="-9.9978637043366805E-2"/>
        </patternFill>
      </fill>
    </dxf>
    <dxf>
      <fill>
        <patternFill patternType="solid">
          <fgColor indexed="64"/>
          <bgColor theme="2" tint="-9.9978637043366805E-2"/>
        </patternFill>
      </fill>
    </dxf>
    <dxf>
      <fill>
        <patternFill patternType="solid">
          <fgColor indexed="64"/>
          <bgColor theme="2" tint="-9.9978637043366805E-2"/>
        </patternFill>
      </fill>
    </dxf>
    <dxf>
      <fill>
        <patternFill patternType="solid">
          <fgColor indexed="64"/>
          <bgColor theme="2" tint="-9.9978637043366805E-2"/>
        </patternFill>
      </fill>
    </dxf>
    <dxf>
      <fill>
        <patternFill patternType="solid">
          <fgColor indexed="64"/>
          <bgColor theme="2" tint="-9.9978637043366805E-2"/>
        </patternFill>
      </fill>
    </dxf>
    <dxf>
      <fill>
        <patternFill patternType="solid">
          <fgColor indexed="64"/>
          <bgColor theme="2" tint="-9.9978637043366805E-2"/>
        </patternFill>
      </fill>
    </dxf>
    <dxf>
      <fill>
        <patternFill patternType="solid">
          <fgColor indexed="64"/>
          <bgColor theme="2" tint="-9.9978637043366805E-2"/>
        </patternFill>
      </fill>
    </dxf>
  </dxfs>
  <tableStyles count="0" defaultTableStyle="TableStyleMedium2" defaultPivotStyle="PivotStyleLight16"/>
  <colors>
    <mruColors>
      <color rgb="FFFFCCCC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l-G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ESG Portfolio vs Paris-Aligned Index: Average ESG Score per Sub-sector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'Portfolio Board'!$X$1</c:f>
              <c:strCache>
                <c:ptCount val="1"/>
                <c:pt idx="0">
                  <c:v>Avg ESG Score of Paris Aligned Index </c:v>
                </c:pt>
              </c:strCache>
            </c:strRef>
          </c:tx>
          <c:spPr>
            <a:solidFill>
              <a:srgbClr val="000000"/>
            </a:solidFill>
            <a:ln>
              <a:noFill/>
            </a:ln>
            <a:effectLst/>
          </c:spPr>
          <c:invertIfNegative val="0"/>
          <c:cat>
            <c:strRef>
              <c:f>'Portfolio Board'!$Q$2:$Q$21</c:f>
              <c:strCache>
                <c:ptCount val="20"/>
                <c:pt idx="0">
                  <c:v>Banking</c:v>
                </c:pt>
                <c:pt idx="1">
                  <c:v>Insurance</c:v>
                </c:pt>
                <c:pt idx="2">
                  <c:v>Financial Services</c:v>
                </c:pt>
                <c:pt idx="3">
                  <c:v>Industrial Products</c:v>
                </c:pt>
                <c:pt idx="4">
                  <c:v>Industrial Services</c:v>
                </c:pt>
                <c:pt idx="5">
                  <c:v>Health Care</c:v>
                </c:pt>
                <c:pt idx="6">
                  <c:v>Consumer Staple Products</c:v>
                </c:pt>
                <c:pt idx="7">
                  <c:v>Retail &amp; Wholesale - Staples</c:v>
                </c:pt>
                <c:pt idx="8">
                  <c:v>Consumer Discretionary Products</c:v>
                </c:pt>
                <c:pt idx="9">
                  <c:v>Retail &amp; Whsle - Discretionary</c:v>
                </c:pt>
                <c:pt idx="10">
                  <c:v>Consumer Discretionary Services</c:v>
                </c:pt>
                <c:pt idx="11">
                  <c:v>Tech Hardware &amp; Semiconductors</c:v>
                </c:pt>
                <c:pt idx="12">
                  <c:v>Software &amp; Tech Services</c:v>
                </c:pt>
                <c:pt idx="13">
                  <c:v>Materials</c:v>
                </c:pt>
                <c:pt idx="14">
                  <c:v>Oil &amp; Gas</c:v>
                </c:pt>
                <c:pt idx="15">
                  <c:v>Renewable Energy</c:v>
                </c:pt>
                <c:pt idx="16">
                  <c:v>Utilities</c:v>
                </c:pt>
                <c:pt idx="17">
                  <c:v>Telecommunications</c:v>
                </c:pt>
                <c:pt idx="18">
                  <c:v>Media</c:v>
                </c:pt>
                <c:pt idx="19">
                  <c:v>Real Estate</c:v>
                </c:pt>
              </c:strCache>
            </c:strRef>
          </c:cat>
          <c:val>
            <c:numRef>
              <c:f>'Portfolio Board'!$X$2:$X$21</c:f>
              <c:numCache>
                <c:formatCode>0.00</c:formatCode>
                <c:ptCount val="20"/>
                <c:pt idx="0">
                  <c:v>72.502244897959201</c:v>
                </c:pt>
                <c:pt idx="1">
                  <c:v>72.5083870967742</c:v>
                </c:pt>
                <c:pt idx="2">
                  <c:v>59.268000000000008</c:v>
                </c:pt>
                <c:pt idx="3" formatCode="0.0">
                  <c:v>69.047878787878787</c:v>
                </c:pt>
                <c:pt idx="4" formatCode="0.0">
                  <c:v>71.291200000000018</c:v>
                </c:pt>
                <c:pt idx="5" formatCode="0.0">
                  <c:v>72.728571428571428</c:v>
                </c:pt>
                <c:pt idx="6" formatCode="0.0">
                  <c:v>71.595483870967726</c:v>
                </c:pt>
                <c:pt idx="7" formatCode="0.0">
                  <c:v>67.525833333333352</c:v>
                </c:pt>
                <c:pt idx="8" formatCode="0.0">
                  <c:v>69.740000000000009</c:v>
                </c:pt>
                <c:pt idx="9" formatCode="0.0">
                  <c:v>62.925882352941166</c:v>
                </c:pt>
                <c:pt idx="10" formatCode="0.0">
                  <c:v>69.844545454545454</c:v>
                </c:pt>
                <c:pt idx="11" formatCode="0.0">
                  <c:v>68.097692307692313</c:v>
                </c:pt>
                <c:pt idx="12" formatCode="0.0">
                  <c:v>63.804000000000002</c:v>
                </c:pt>
                <c:pt idx="13" formatCode="0.0">
                  <c:v>71.952692307692288</c:v>
                </c:pt>
                <c:pt idx="15" formatCode="0.0">
                  <c:v>69.03</c:v>
                </c:pt>
                <c:pt idx="16" formatCode="0.0">
                  <c:v>72.127142857142857</c:v>
                </c:pt>
                <c:pt idx="17" formatCode="0.0">
                  <c:v>66.847333333333339</c:v>
                </c:pt>
                <c:pt idx="18" formatCode="0.0">
                  <c:v>71.726153846153849</c:v>
                </c:pt>
                <c:pt idx="19" formatCode="0.0">
                  <c:v>67.296551724137942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FC-446F-8414-3D0A26FE21C1}"/>
            </c:ext>
          </c:extLst>
        </c:ser>
        <c:ser>
          <c:idx val="1"/>
          <c:order val="1"/>
          <c:tx>
            <c:strRef>
              <c:f>'Portfolio Board'!$Y$1</c:f>
              <c:strCache>
                <c:ptCount val="1"/>
                <c:pt idx="0">
                  <c:v>Avg ESG Score of the PAB Portfolio</c:v>
                </c:pt>
              </c:strCache>
            </c:strRef>
          </c:tx>
          <c:spPr>
            <a:solidFill>
              <a:srgbClr val="D0D0D0"/>
            </a:solidFill>
            <a:ln>
              <a:noFill/>
            </a:ln>
            <a:effectLst/>
          </c:spPr>
          <c:invertIfNegative val="0"/>
          <c:cat>
            <c:strRef>
              <c:f>'Portfolio Board'!$Q$2:$Q$21</c:f>
              <c:strCache>
                <c:ptCount val="20"/>
                <c:pt idx="0">
                  <c:v>Banking</c:v>
                </c:pt>
                <c:pt idx="1">
                  <c:v>Insurance</c:v>
                </c:pt>
                <c:pt idx="2">
                  <c:v>Financial Services</c:v>
                </c:pt>
                <c:pt idx="3">
                  <c:v>Industrial Products</c:v>
                </c:pt>
                <c:pt idx="4">
                  <c:v>Industrial Services</c:v>
                </c:pt>
                <c:pt idx="5">
                  <c:v>Health Care</c:v>
                </c:pt>
                <c:pt idx="6">
                  <c:v>Consumer Staple Products</c:v>
                </c:pt>
                <c:pt idx="7">
                  <c:v>Retail &amp; Wholesale - Staples</c:v>
                </c:pt>
                <c:pt idx="8">
                  <c:v>Consumer Discretionary Products</c:v>
                </c:pt>
                <c:pt idx="9">
                  <c:v>Retail &amp; Whsle - Discretionary</c:v>
                </c:pt>
                <c:pt idx="10">
                  <c:v>Consumer Discretionary Services</c:v>
                </c:pt>
                <c:pt idx="11">
                  <c:v>Tech Hardware &amp; Semiconductors</c:v>
                </c:pt>
                <c:pt idx="12">
                  <c:v>Software &amp; Tech Services</c:v>
                </c:pt>
                <c:pt idx="13">
                  <c:v>Materials</c:v>
                </c:pt>
                <c:pt idx="14">
                  <c:v>Oil &amp; Gas</c:v>
                </c:pt>
                <c:pt idx="15">
                  <c:v>Renewable Energy</c:v>
                </c:pt>
                <c:pt idx="16">
                  <c:v>Utilities</c:v>
                </c:pt>
                <c:pt idx="17">
                  <c:v>Telecommunications</c:v>
                </c:pt>
                <c:pt idx="18">
                  <c:v>Media</c:v>
                </c:pt>
                <c:pt idx="19">
                  <c:v>Real Estate</c:v>
                </c:pt>
              </c:strCache>
            </c:strRef>
          </c:cat>
          <c:val>
            <c:numRef>
              <c:f>'Portfolio Board'!$Y$2:$Y$21</c:f>
              <c:numCache>
                <c:formatCode>0.00</c:formatCode>
                <c:ptCount val="20"/>
                <c:pt idx="0">
                  <c:v>88.815000000000012</c:v>
                </c:pt>
                <c:pt idx="1">
                  <c:v>86.114000000000004</c:v>
                </c:pt>
                <c:pt idx="2">
                  <c:v>75.512500000000003</c:v>
                </c:pt>
                <c:pt idx="3" formatCode="0.0">
                  <c:v>85.410000000000011</c:v>
                </c:pt>
                <c:pt idx="4" formatCode="0.0">
                  <c:v>85.023333333333341</c:v>
                </c:pt>
                <c:pt idx="5" formatCode="0.0">
                  <c:v>89.204999999999998</c:v>
                </c:pt>
                <c:pt idx="6" formatCode="0.0">
                  <c:v>87.894999999999996</c:v>
                </c:pt>
                <c:pt idx="7" formatCode="0.0">
                  <c:v>85.83</c:v>
                </c:pt>
                <c:pt idx="8" formatCode="0.0">
                  <c:v>90.704999999999998</c:v>
                </c:pt>
                <c:pt idx="9" formatCode="0.0">
                  <c:v>75.88</c:v>
                </c:pt>
                <c:pt idx="10" formatCode="0.0">
                  <c:v>88.36</c:v>
                </c:pt>
                <c:pt idx="11" formatCode="0.0">
                  <c:v>75.615000000000009</c:v>
                </c:pt>
                <c:pt idx="12" formatCode="0.0">
                  <c:v>86.71</c:v>
                </c:pt>
                <c:pt idx="13" formatCode="0.0">
                  <c:v>88.204999999999998</c:v>
                </c:pt>
                <c:pt idx="15" formatCode="0.0">
                  <c:v>69.03</c:v>
                </c:pt>
                <c:pt idx="16" formatCode="0.0">
                  <c:v>87.134999999999991</c:v>
                </c:pt>
                <c:pt idx="17" formatCode="0.0">
                  <c:v>80.55</c:v>
                </c:pt>
                <c:pt idx="18" formatCode="0.0">
                  <c:v>81.77</c:v>
                </c:pt>
                <c:pt idx="19" formatCode="0.0">
                  <c:v>86.02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FC-446F-8414-3D0A26FE21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53310216"/>
        <c:axId val="1353312264"/>
      </c:barChart>
      <c:catAx>
        <c:axId val="1353310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3312264"/>
        <c:crosses val="autoZero"/>
        <c:auto val="1"/>
        <c:lblAlgn val="ctr"/>
        <c:lblOffset val="100"/>
        <c:noMultiLvlLbl val="0"/>
      </c:catAx>
      <c:valAx>
        <c:axId val="1353312264"/>
        <c:scaling>
          <c:orientation val="minMax"/>
          <c:max val="92"/>
          <c:min val="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3310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rgbClr val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l-G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Sub Sector Weight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000000"/>
            </a:solidFill>
            <a:ln>
              <a:noFill/>
            </a:ln>
            <a:effectLst/>
          </c:spPr>
          <c:invertIfNegative val="0"/>
          <c:cat>
            <c:strRef>
              <c:f>'Sub Sector Weight'!$B$3:$B$51</c:f>
              <c:strCache>
                <c:ptCount val="23"/>
                <c:pt idx="0">
                  <c:v>Banking</c:v>
                </c:pt>
                <c:pt idx="1">
                  <c:v>Insurance</c:v>
                </c:pt>
                <c:pt idx="2">
                  <c:v>Financial Services</c:v>
                </c:pt>
                <c:pt idx="3">
                  <c:v>Industrial Products</c:v>
                </c:pt>
                <c:pt idx="4">
                  <c:v>Industrial Services</c:v>
                </c:pt>
                <c:pt idx="5">
                  <c:v>Health Care</c:v>
                </c:pt>
                <c:pt idx="6">
                  <c:v>Consumer Staple Products</c:v>
                </c:pt>
                <c:pt idx="7">
                  <c:v>Retail &amp; Wholesale - Staples</c:v>
                </c:pt>
                <c:pt idx="8">
                  <c:v>Consumer Discretionary Products</c:v>
                </c:pt>
                <c:pt idx="9">
                  <c:v>Retail &amp; Whsle - Discretionary</c:v>
                </c:pt>
                <c:pt idx="10">
                  <c:v>Consumer Discretionary Services</c:v>
                </c:pt>
                <c:pt idx="11">
                  <c:v>Tech Hardware &amp; Semiconductors</c:v>
                </c:pt>
                <c:pt idx="13">
                  <c:v>Software &amp; Tech Services</c:v>
                </c:pt>
                <c:pt idx="14">
                  <c:v>Materials</c:v>
                </c:pt>
                <c:pt idx="16">
                  <c:v>Renewable Energy</c:v>
                </c:pt>
                <c:pt idx="17">
                  <c:v>Oil &amp; Gas</c:v>
                </c:pt>
                <c:pt idx="18">
                  <c:v>Utilities</c:v>
                </c:pt>
                <c:pt idx="20">
                  <c:v>Telecommunications</c:v>
                </c:pt>
                <c:pt idx="21">
                  <c:v>Media</c:v>
                </c:pt>
                <c:pt idx="22">
                  <c:v>Real Estate</c:v>
                </c:pt>
              </c:strCache>
            </c:strRef>
          </c:cat>
          <c:val>
            <c:numRef>
              <c:f>'Sub Sector Weight'!$M$3:$M$51</c:f>
              <c:numCache>
                <c:formatCode>0.00%</c:formatCode>
                <c:ptCount val="23"/>
                <c:pt idx="0">
                  <c:v>0.125380337844927</c:v>
                </c:pt>
                <c:pt idx="1">
                  <c:v>6.9037876403315476E-2</c:v>
                </c:pt>
                <c:pt idx="2">
                  <c:v>5.5188332808729409E-2</c:v>
                </c:pt>
                <c:pt idx="3">
                  <c:v>0.1273738327562691</c:v>
                </c:pt>
                <c:pt idx="4">
                  <c:v>6.1168817542755202E-2</c:v>
                </c:pt>
                <c:pt idx="5">
                  <c:v>0.13587241632567415</c:v>
                </c:pt>
                <c:pt idx="6">
                  <c:v>9.4428706326723302E-2</c:v>
                </c:pt>
                <c:pt idx="7">
                  <c:v>1.0911761619976918E-2</c:v>
                </c:pt>
                <c:pt idx="8">
                  <c:v>5.8860560276990846E-2</c:v>
                </c:pt>
                <c:pt idx="9">
                  <c:v>1.5213513797083193E-2</c:v>
                </c:pt>
                <c:pt idx="10">
                  <c:v>8.6035043542125669E-3</c:v>
                </c:pt>
                <c:pt idx="11">
                  <c:v>3.7666561745881844E-2</c:v>
                </c:pt>
                <c:pt idx="13">
                  <c:v>3.4518938201657738E-2</c:v>
                </c:pt>
                <c:pt idx="14">
                  <c:v>6.6100094428706305E-2</c:v>
                </c:pt>
                <c:pt idx="16">
                  <c:v>1.2590494176896439E-3</c:v>
                </c:pt>
                <c:pt idx="17">
                  <c:v>0</c:v>
                </c:pt>
                <c:pt idx="18">
                  <c:v>4.3961808834330082E-2</c:v>
                </c:pt>
                <c:pt idx="20">
                  <c:v>2.4341622075333118E-2</c:v>
                </c:pt>
                <c:pt idx="21">
                  <c:v>1.6787325569195249E-2</c:v>
                </c:pt>
                <c:pt idx="22">
                  <c:v>1.3299999999999999E-2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48-4FAD-BF54-F72E757E8F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82434568"/>
        <c:axId val="446237191"/>
      </c:barChart>
      <c:catAx>
        <c:axId val="20824345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6237191"/>
        <c:crosses val="autoZero"/>
        <c:auto val="1"/>
        <c:lblAlgn val="ctr"/>
        <c:lblOffset val="100"/>
        <c:noMultiLvlLbl val="0"/>
      </c:catAx>
      <c:valAx>
        <c:axId val="446237191"/>
        <c:scaling>
          <c:orientation val="minMax"/>
          <c:max val="0.1400000000000000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2434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l-G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Return per Company</a:t>
            </a:r>
          </a:p>
        </c:rich>
      </c:tx>
      <c:layout>
        <c:manualLayout>
          <c:xMode val="edge"/>
          <c:yMode val="edge"/>
          <c:x val="0.44719024854548001"/>
          <c:y val="1.08786947844443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'Monthly Portfolio Return'!$BN$3</c:f>
              <c:strCache>
                <c:ptCount val="1"/>
                <c:pt idx="0">
                  <c:v>Total Monthly Return </c:v>
                </c:pt>
              </c:strCache>
            </c:strRef>
          </c:tx>
          <c:spPr>
            <a:solidFill>
              <a:srgbClr val="000000"/>
            </a:solidFill>
            <a:ln>
              <a:noFill/>
            </a:ln>
            <a:effectLst/>
          </c:spPr>
          <c:invertIfNegative val="0"/>
          <c:cat>
            <c:strRef>
              <c:f>'Monthly Portfolio Return'!$BM$4:$BM$51</c:f>
              <c:strCache>
                <c:ptCount val="48"/>
                <c:pt idx="0">
                  <c:v>BAS GR</c:v>
                </c:pt>
                <c:pt idx="1">
                  <c:v>ADS GR</c:v>
                </c:pt>
                <c:pt idx="2">
                  <c:v>VNA GR</c:v>
                </c:pt>
                <c:pt idx="3">
                  <c:v>VWS DC</c:v>
                </c:pt>
                <c:pt idx="4">
                  <c:v>IFX GR</c:v>
                </c:pt>
                <c:pt idx="5">
                  <c:v>AMS SM</c:v>
                </c:pt>
                <c:pt idx="6">
                  <c:v>NESN SW</c:v>
                </c:pt>
                <c:pt idx="7">
                  <c:v>BN FP</c:v>
                </c:pt>
                <c:pt idx="8">
                  <c:v>LR FP</c:v>
                </c:pt>
                <c:pt idx="9">
                  <c:v>EXPN LN</c:v>
                </c:pt>
                <c:pt idx="10">
                  <c:v>LSEG LN</c:v>
                </c:pt>
                <c:pt idx="11">
                  <c:v>ENEL IM</c:v>
                </c:pt>
                <c:pt idx="12">
                  <c:v>OR FP</c:v>
                </c:pt>
                <c:pt idx="13">
                  <c:v>ULVR LN</c:v>
                </c:pt>
                <c:pt idx="14">
                  <c:v>FER SM</c:v>
                </c:pt>
                <c:pt idx="15">
                  <c:v>GSK LN</c:v>
                </c:pt>
                <c:pt idx="16">
                  <c:v>VOLVB SS</c:v>
                </c:pt>
                <c:pt idx="17">
                  <c:v>AD NA</c:v>
                </c:pt>
                <c:pt idx="18">
                  <c:v>SAN FP</c:v>
                </c:pt>
                <c:pt idx="19">
                  <c:v>G IM</c:v>
                </c:pt>
                <c:pt idx="20">
                  <c:v>SREN SW</c:v>
                </c:pt>
                <c:pt idx="21">
                  <c:v>ROG SW</c:v>
                </c:pt>
                <c:pt idx="22">
                  <c:v>DB1 GR</c:v>
                </c:pt>
                <c:pt idx="23">
                  <c:v>ITX SM</c:v>
                </c:pt>
                <c:pt idx="24">
                  <c:v>ZURN SW</c:v>
                </c:pt>
                <c:pt idx="25">
                  <c:v>MBG GR</c:v>
                </c:pt>
                <c:pt idx="26">
                  <c:v>IBE SM</c:v>
                </c:pt>
                <c:pt idx="27">
                  <c:v>MUV2 GR</c:v>
                </c:pt>
                <c:pt idx="28">
                  <c:v>DG FP</c:v>
                </c:pt>
                <c:pt idx="29">
                  <c:v>LLOY LN</c:v>
                </c:pt>
                <c:pt idx="30">
                  <c:v>PUB FP</c:v>
                </c:pt>
                <c:pt idx="31">
                  <c:v>ALV GR</c:v>
                </c:pt>
                <c:pt idx="32">
                  <c:v>BARC LN</c:v>
                </c:pt>
                <c:pt idx="33">
                  <c:v>ABBN SW</c:v>
                </c:pt>
                <c:pt idx="34">
                  <c:v>UBSG SW</c:v>
                </c:pt>
                <c:pt idx="35">
                  <c:v>AZN LN</c:v>
                </c:pt>
                <c:pt idx="36">
                  <c:v>DTE GR</c:v>
                </c:pt>
                <c:pt idx="37">
                  <c:v>NWG LN</c:v>
                </c:pt>
                <c:pt idx="38">
                  <c:v>ASML NA</c:v>
                </c:pt>
                <c:pt idx="39">
                  <c:v>BNP FP</c:v>
                </c:pt>
                <c:pt idx="40">
                  <c:v>SU FP</c:v>
                </c:pt>
                <c:pt idx="41">
                  <c:v>REL LN</c:v>
                </c:pt>
                <c:pt idx="42">
                  <c:v>SIE GR</c:v>
                </c:pt>
                <c:pt idx="43">
                  <c:v>ISP IM</c:v>
                </c:pt>
                <c:pt idx="44">
                  <c:v>SAP GR</c:v>
                </c:pt>
                <c:pt idx="45">
                  <c:v>BBVA SM</c:v>
                </c:pt>
                <c:pt idx="46">
                  <c:v>SGO FP</c:v>
                </c:pt>
                <c:pt idx="47">
                  <c:v>RHM GR</c:v>
                </c:pt>
              </c:strCache>
            </c:strRef>
          </c:cat>
          <c:val>
            <c:numRef>
              <c:f>'Monthly Portfolio Return'!$BN$4:$BN$51</c:f>
              <c:numCache>
                <c:formatCode>0.00%</c:formatCode>
                <c:ptCount val="48"/>
                <c:pt idx="0">
                  <c:v>-1.0141023126303161E-2</c:v>
                </c:pt>
                <c:pt idx="1">
                  <c:v>-6.0210528153801235E-3</c:v>
                </c:pt>
                <c:pt idx="2">
                  <c:v>-1.3743423611047856E-3</c:v>
                </c:pt>
                <c:pt idx="3">
                  <c:v>-1.0261889580597261E-3</c:v>
                </c:pt>
                <c:pt idx="4">
                  <c:v>1.7230488546708944E-3</c:v>
                </c:pt>
                <c:pt idx="5">
                  <c:v>2.3310210767160111E-3</c:v>
                </c:pt>
                <c:pt idx="6">
                  <c:v>2.802444856123687E-3</c:v>
                </c:pt>
                <c:pt idx="7">
                  <c:v>3.7943849014685505E-3</c:v>
                </c:pt>
                <c:pt idx="8">
                  <c:v>4.2312840288281084E-3</c:v>
                </c:pt>
                <c:pt idx="9">
                  <c:v>5.0412432616739888E-3</c:v>
                </c:pt>
                <c:pt idx="10">
                  <c:v>5.2553617033479494E-3</c:v>
                </c:pt>
                <c:pt idx="11">
                  <c:v>5.2623203687092168E-3</c:v>
                </c:pt>
                <c:pt idx="12">
                  <c:v>5.3945146006699751E-3</c:v>
                </c:pt>
                <c:pt idx="13">
                  <c:v>5.9651813797145792E-3</c:v>
                </c:pt>
                <c:pt idx="14">
                  <c:v>5.9784903646247223E-3</c:v>
                </c:pt>
                <c:pt idx="15">
                  <c:v>6.3633074480284879E-3</c:v>
                </c:pt>
                <c:pt idx="16">
                  <c:v>6.9977224283304107E-3</c:v>
                </c:pt>
                <c:pt idx="17">
                  <c:v>7.2792493394155944E-3</c:v>
                </c:pt>
                <c:pt idx="18">
                  <c:v>7.350639815514981E-3</c:v>
                </c:pt>
                <c:pt idx="19">
                  <c:v>7.6421098673431498E-3</c:v>
                </c:pt>
                <c:pt idx="20">
                  <c:v>8.1131292222951235E-3</c:v>
                </c:pt>
                <c:pt idx="21">
                  <c:v>9.3917381658508159E-3</c:v>
                </c:pt>
                <c:pt idx="22">
                  <c:v>1.0115979027640165E-2</c:v>
                </c:pt>
                <c:pt idx="23">
                  <c:v>1.2654255523583124E-2</c:v>
                </c:pt>
                <c:pt idx="24">
                  <c:v>1.3585860987140208E-2</c:v>
                </c:pt>
                <c:pt idx="25">
                  <c:v>1.399191970841418E-2</c:v>
                </c:pt>
                <c:pt idx="26">
                  <c:v>1.4508874479721934E-2</c:v>
                </c:pt>
                <c:pt idx="27">
                  <c:v>1.5964138075933665E-2</c:v>
                </c:pt>
                <c:pt idx="28">
                  <c:v>1.6475076000147304E-2</c:v>
                </c:pt>
                <c:pt idx="29">
                  <c:v>1.9789249000787379E-2</c:v>
                </c:pt>
                <c:pt idx="30">
                  <c:v>2.022930746140772E-2</c:v>
                </c:pt>
                <c:pt idx="31">
                  <c:v>2.0736035148757326E-2</c:v>
                </c:pt>
                <c:pt idx="32">
                  <c:v>2.0866244566487557E-2</c:v>
                </c:pt>
                <c:pt idx="33">
                  <c:v>2.1084065300776222E-2</c:v>
                </c:pt>
                <c:pt idx="34">
                  <c:v>2.4123586697385901E-2</c:v>
                </c:pt>
                <c:pt idx="35">
                  <c:v>2.4357054449007709E-2</c:v>
                </c:pt>
                <c:pt idx="36">
                  <c:v>2.4415979293503254E-2</c:v>
                </c:pt>
                <c:pt idx="37">
                  <c:v>2.453741286530331E-2</c:v>
                </c:pt>
                <c:pt idx="38">
                  <c:v>2.6757546944961019E-2</c:v>
                </c:pt>
                <c:pt idx="39">
                  <c:v>2.7732144022799332E-2</c:v>
                </c:pt>
                <c:pt idx="40">
                  <c:v>2.8264430440877897E-2</c:v>
                </c:pt>
                <c:pt idx="41">
                  <c:v>3.0685018585256962E-2</c:v>
                </c:pt>
                <c:pt idx="42">
                  <c:v>3.4871477637751669E-2</c:v>
                </c:pt>
                <c:pt idx="43">
                  <c:v>3.5588065061597618E-2</c:v>
                </c:pt>
                <c:pt idx="44">
                  <c:v>4.0241814874333537E-2</c:v>
                </c:pt>
                <c:pt idx="45">
                  <c:v>4.1876618486555106E-2</c:v>
                </c:pt>
                <c:pt idx="46">
                  <c:v>4.3212346059779305E-2</c:v>
                </c:pt>
                <c:pt idx="47">
                  <c:v>9.2553059552897388E-2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B9-47AA-913A-555BAA5580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5"/>
        <c:axId val="1606119432"/>
        <c:axId val="1606122504"/>
      </c:barChart>
      <c:catAx>
        <c:axId val="16061194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6122504"/>
        <c:crosses val="autoZero"/>
        <c:auto val="1"/>
        <c:lblAlgn val="ctr"/>
        <c:lblOffset val="100"/>
        <c:noMultiLvlLbl val="0"/>
      </c:catAx>
      <c:valAx>
        <c:axId val="1606122504"/>
        <c:scaling>
          <c:orientation val="minMax"/>
          <c:max val="0.1"/>
          <c:min val="-8.0000000000000002E-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6119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l-G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PAB Portfolio Vs EURO STOXX 600 – Cumulative Performance</a:t>
            </a:r>
          </a:p>
        </c:rich>
      </c:tx>
      <c:layout>
        <c:manualLayout>
          <c:xMode val="edge"/>
          <c:yMode val="edge"/>
          <c:x val="0.26993042151938534"/>
          <c:y val="2.55689918980060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'Cumulative &amp; Rebalancing Chart'!$A$2</c:f>
              <c:strCache>
                <c:ptCount val="1"/>
                <c:pt idx="0">
                  <c:v>PAB Portfolio </c:v>
                </c:pt>
              </c:strCache>
            </c:strRef>
          </c:tx>
          <c:spPr>
            <a:ln w="28575" cap="rnd">
              <a:solidFill>
                <a:srgbClr val="00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'Cumulative &amp; Rebalancing Chart'!$B$1:$BC$1</c:f>
              <c:numCache>
                <c:formatCode>[$-409]mmm\-yy;@</c:formatCode>
                <c:ptCount val="54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 formatCode="mmm\-yy">
                  <c:v>44927</c:v>
                </c:pt>
                <c:pt idx="25" formatCode="mmm\-yy">
                  <c:v>44958</c:v>
                </c:pt>
                <c:pt idx="26" formatCode="mmm\-yy">
                  <c:v>44986</c:v>
                </c:pt>
                <c:pt idx="27" formatCode="mmm\-yy">
                  <c:v>45017</c:v>
                </c:pt>
                <c:pt idx="28" formatCode="mmm\-yy">
                  <c:v>45047</c:v>
                </c:pt>
                <c:pt idx="29" formatCode="mmm\-yy">
                  <c:v>45078</c:v>
                </c:pt>
                <c:pt idx="30" formatCode="mmm\-yy">
                  <c:v>45108</c:v>
                </c:pt>
                <c:pt idx="31" formatCode="mmm\-yy">
                  <c:v>45139</c:v>
                </c:pt>
                <c:pt idx="32" formatCode="mmm\-yy">
                  <c:v>45170</c:v>
                </c:pt>
                <c:pt idx="33" formatCode="mmm\-yy">
                  <c:v>45200</c:v>
                </c:pt>
                <c:pt idx="34" formatCode="mmm\-yy">
                  <c:v>45231</c:v>
                </c:pt>
                <c:pt idx="35" formatCode="mmm\-yy">
                  <c:v>45261</c:v>
                </c:pt>
                <c:pt idx="36" formatCode="mmm\-yy">
                  <c:v>45292</c:v>
                </c:pt>
                <c:pt idx="37" formatCode="mmm\-yy">
                  <c:v>45323</c:v>
                </c:pt>
                <c:pt idx="38" formatCode="mmm\-yy">
                  <c:v>45352</c:v>
                </c:pt>
                <c:pt idx="39" formatCode="mmm\-yy">
                  <c:v>45383</c:v>
                </c:pt>
                <c:pt idx="40" formatCode="mmm\-yy">
                  <c:v>45413</c:v>
                </c:pt>
                <c:pt idx="41" formatCode="mmm\-yy">
                  <c:v>45444</c:v>
                </c:pt>
                <c:pt idx="42" formatCode="mmm\-yy">
                  <c:v>45474</c:v>
                </c:pt>
                <c:pt idx="43" formatCode="mmm\-yy">
                  <c:v>45505</c:v>
                </c:pt>
                <c:pt idx="44" formatCode="mmm\-yy">
                  <c:v>45536</c:v>
                </c:pt>
                <c:pt idx="45" formatCode="mmm\-yy">
                  <c:v>45566</c:v>
                </c:pt>
                <c:pt idx="46" formatCode="mmm\-yy">
                  <c:v>45597</c:v>
                </c:pt>
                <c:pt idx="47" formatCode="mmm\-yy">
                  <c:v>45627</c:v>
                </c:pt>
                <c:pt idx="48" formatCode="mmm\-yy">
                  <c:v>45658</c:v>
                </c:pt>
                <c:pt idx="49" formatCode="mmm\-yy">
                  <c:v>45689</c:v>
                </c:pt>
                <c:pt idx="50" formatCode="mmm\-yy">
                  <c:v>45717</c:v>
                </c:pt>
                <c:pt idx="51" formatCode="mmm\-yy">
                  <c:v>45748</c:v>
                </c:pt>
                <c:pt idx="52" formatCode="mmm\-yy">
                  <c:v>45778</c:v>
                </c:pt>
                <c:pt idx="53" formatCode="mmm\-yy">
                  <c:v>45809</c:v>
                </c:pt>
              </c:numCache>
            </c:numRef>
          </c:cat>
          <c:val>
            <c:numRef>
              <c:f>'Cumulative &amp; Rebalancing Chart'!$B$2:$BC$2</c:f>
              <c:numCache>
                <c:formatCode>0.00%</c:formatCode>
                <c:ptCount val="54"/>
                <c:pt idx="0">
                  <c:v>0.98886149964014292</c:v>
                </c:pt>
                <c:pt idx="1">
                  <c:v>1.0290749905700172</c:v>
                </c:pt>
                <c:pt idx="2">
                  <c:v>1.0987984096726078</c:v>
                </c:pt>
                <c:pt idx="3">
                  <c:v>1.1175477726208209</c:v>
                </c:pt>
                <c:pt idx="4">
                  <c:v>1.1523375326888856</c:v>
                </c:pt>
                <c:pt idx="5">
                  <c:v>1.1703447744457136</c:v>
                </c:pt>
                <c:pt idx="6">
                  <c:v>1.1855793673484003</c:v>
                </c:pt>
                <c:pt idx="7">
                  <c:v>1.2167930450934614</c:v>
                </c:pt>
                <c:pt idx="8">
                  <c:v>1.1887873560204447</c:v>
                </c:pt>
                <c:pt idx="9">
                  <c:v>1.2425448327973843</c:v>
                </c:pt>
                <c:pt idx="10">
                  <c:v>1.1939953316567939</c:v>
                </c:pt>
                <c:pt idx="11">
                  <c:v>1.266879283853694</c:v>
                </c:pt>
                <c:pt idx="12">
                  <c:v>1.2560638324688449</c:v>
                </c:pt>
                <c:pt idx="13">
                  <c:v>1.2112931127794504</c:v>
                </c:pt>
                <c:pt idx="14">
                  <c:v>1.2297472737869533</c:v>
                </c:pt>
                <c:pt idx="15">
                  <c:v>1.2402720278414407</c:v>
                </c:pt>
                <c:pt idx="16">
                  <c:v>1.2267150210773237</c:v>
                </c:pt>
                <c:pt idx="17">
                  <c:v>1.1296455956813141</c:v>
                </c:pt>
                <c:pt idx="18">
                  <c:v>1.1991105852189445</c:v>
                </c:pt>
                <c:pt idx="19">
                  <c:v>1.1378951661238226</c:v>
                </c:pt>
                <c:pt idx="20">
                  <c:v>1.0784600146532661</c:v>
                </c:pt>
                <c:pt idx="21">
                  <c:v>1.1586000667404941</c:v>
                </c:pt>
                <c:pt idx="22">
                  <c:v>1.2484059617923882</c:v>
                </c:pt>
                <c:pt idx="23">
                  <c:v>1.2063421310244959</c:v>
                </c:pt>
                <c:pt idx="24">
                  <c:v>1.315566242327024</c:v>
                </c:pt>
                <c:pt idx="25">
                  <c:v>1.3389218963886838</c:v>
                </c:pt>
                <c:pt idx="26">
                  <c:v>1.3444908205764952</c:v>
                </c:pt>
                <c:pt idx="27">
                  <c:v>1.3816629817719313</c:v>
                </c:pt>
                <c:pt idx="28">
                  <c:v>1.3651577929870646</c:v>
                </c:pt>
                <c:pt idx="29">
                  <c:v>1.4083098638628329</c:v>
                </c:pt>
                <c:pt idx="30">
                  <c:v>1.4374936670297846</c:v>
                </c:pt>
                <c:pt idx="31">
                  <c:v>1.4101922285130752</c:v>
                </c:pt>
                <c:pt idx="32">
                  <c:v>1.3894070850167708</c:v>
                </c:pt>
                <c:pt idx="33">
                  <c:v>1.3352322117345798</c:v>
                </c:pt>
                <c:pt idx="34">
                  <c:v>1.452475664570603</c:v>
                </c:pt>
                <c:pt idx="35">
                  <c:v>1.5160465642168488</c:v>
                </c:pt>
                <c:pt idx="36">
                  <c:v>1.5420947964503056</c:v>
                </c:pt>
                <c:pt idx="37">
                  <c:v>1.5954334159622088</c:v>
                </c:pt>
                <c:pt idx="38">
                  <c:v>1.683398185918854</c:v>
                </c:pt>
                <c:pt idx="39">
                  <c:v>1.6797033581410872</c:v>
                </c:pt>
                <c:pt idx="40">
                  <c:v>1.755421874914201</c:v>
                </c:pt>
                <c:pt idx="41">
                  <c:v>1.7350363697725164</c:v>
                </c:pt>
                <c:pt idx="42">
                  <c:v>1.7836184364531826</c:v>
                </c:pt>
                <c:pt idx="43">
                  <c:v>1.8319878981860946</c:v>
                </c:pt>
                <c:pt idx="44">
                  <c:v>1.831788209219106</c:v>
                </c:pt>
                <c:pt idx="45">
                  <c:v>1.790966232457152</c:v>
                </c:pt>
                <c:pt idx="46">
                  <c:v>1.8235671801738196</c:v>
                </c:pt>
                <c:pt idx="47">
                  <c:v>1.8280707122036206</c:v>
                </c:pt>
                <c:pt idx="48">
                  <c:v>1.9675204115157443</c:v>
                </c:pt>
                <c:pt idx="49">
                  <c:v>2.066196317687957</c:v>
                </c:pt>
                <c:pt idx="50">
                  <c:v>2.019720529233842</c:v>
                </c:pt>
                <c:pt idx="51">
                  <c:v>2.035141672151124</c:v>
                </c:pt>
                <c:pt idx="52">
                  <c:v>2.1302942175150124</c:v>
                </c:pt>
                <c:pt idx="53">
                  <c:v>2.0725705992926953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E6-463D-A0D2-8897DDE01ABC}"/>
            </c:ext>
          </c:extLst>
        </c:ser>
        <c:ser>
          <c:idx val="1"/>
          <c:order val="1"/>
          <c:tx>
            <c:strRef>
              <c:f>'Cumulative &amp; Rebalancing Chart'!$A$3</c:f>
              <c:strCache>
                <c:ptCount val="1"/>
                <c:pt idx="0">
                  <c:v>Eurostox600</c:v>
                </c:pt>
              </c:strCache>
            </c:strRef>
          </c:tx>
          <c:spPr>
            <a:ln w="28575" cap="rnd">
              <a:solidFill>
                <a:srgbClr val="00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'Cumulative &amp; Rebalancing Chart'!$B$1:$BC$1</c:f>
              <c:numCache>
                <c:formatCode>[$-409]mmm\-yy;@</c:formatCode>
                <c:ptCount val="54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 formatCode="mmm\-yy">
                  <c:v>44927</c:v>
                </c:pt>
                <c:pt idx="25" formatCode="mmm\-yy">
                  <c:v>44958</c:v>
                </c:pt>
                <c:pt idx="26" formatCode="mmm\-yy">
                  <c:v>44986</c:v>
                </c:pt>
                <c:pt idx="27" formatCode="mmm\-yy">
                  <c:v>45017</c:v>
                </c:pt>
                <c:pt idx="28" formatCode="mmm\-yy">
                  <c:v>45047</c:v>
                </c:pt>
                <c:pt idx="29" formatCode="mmm\-yy">
                  <c:v>45078</c:v>
                </c:pt>
                <c:pt idx="30" formatCode="mmm\-yy">
                  <c:v>45108</c:v>
                </c:pt>
                <c:pt idx="31" formatCode="mmm\-yy">
                  <c:v>45139</c:v>
                </c:pt>
                <c:pt idx="32" formatCode="mmm\-yy">
                  <c:v>45170</c:v>
                </c:pt>
                <c:pt idx="33" formatCode="mmm\-yy">
                  <c:v>45200</c:v>
                </c:pt>
                <c:pt idx="34" formatCode="mmm\-yy">
                  <c:v>45231</c:v>
                </c:pt>
                <c:pt idx="35" formatCode="mmm\-yy">
                  <c:v>45261</c:v>
                </c:pt>
                <c:pt idx="36" formatCode="mmm\-yy">
                  <c:v>45292</c:v>
                </c:pt>
                <c:pt idx="37" formatCode="mmm\-yy">
                  <c:v>45323</c:v>
                </c:pt>
                <c:pt idx="38" formatCode="mmm\-yy">
                  <c:v>45352</c:v>
                </c:pt>
                <c:pt idx="39" formatCode="mmm\-yy">
                  <c:v>45383</c:v>
                </c:pt>
                <c:pt idx="40" formatCode="mmm\-yy">
                  <c:v>45413</c:v>
                </c:pt>
                <c:pt idx="41" formatCode="mmm\-yy">
                  <c:v>45444</c:v>
                </c:pt>
                <c:pt idx="42" formatCode="mmm\-yy">
                  <c:v>45474</c:v>
                </c:pt>
                <c:pt idx="43" formatCode="mmm\-yy">
                  <c:v>45505</c:v>
                </c:pt>
                <c:pt idx="44" formatCode="mmm\-yy">
                  <c:v>45536</c:v>
                </c:pt>
                <c:pt idx="45" formatCode="mmm\-yy">
                  <c:v>45566</c:v>
                </c:pt>
                <c:pt idx="46" formatCode="mmm\-yy">
                  <c:v>45597</c:v>
                </c:pt>
                <c:pt idx="47" formatCode="mmm\-yy">
                  <c:v>45627</c:v>
                </c:pt>
                <c:pt idx="48" formatCode="mmm\-yy">
                  <c:v>45658</c:v>
                </c:pt>
                <c:pt idx="49" formatCode="mmm\-yy">
                  <c:v>45689</c:v>
                </c:pt>
                <c:pt idx="50" formatCode="mmm\-yy">
                  <c:v>45717</c:v>
                </c:pt>
                <c:pt idx="51" formatCode="mmm\-yy">
                  <c:v>45748</c:v>
                </c:pt>
                <c:pt idx="52" formatCode="mmm\-yy">
                  <c:v>45778</c:v>
                </c:pt>
                <c:pt idx="53" formatCode="mmm\-yy">
                  <c:v>45809</c:v>
                </c:pt>
              </c:numCache>
            </c:numRef>
          </c:cat>
          <c:val>
            <c:numRef>
              <c:f>'Cumulative &amp; Rebalancing Chart'!$B$3:$BC$3</c:f>
              <c:numCache>
                <c:formatCode>0.00%</c:formatCode>
                <c:ptCount val="54"/>
                <c:pt idx="0">
                  <c:v>0.98899999999999999</c:v>
                </c:pt>
                <c:pt idx="1">
                  <c:v>1.0118459</c:v>
                </c:pt>
                <c:pt idx="2">
                  <c:v>1.07336613072</c:v>
                </c:pt>
                <c:pt idx="3">
                  <c:v>1.092794057686032</c:v>
                </c:pt>
                <c:pt idx="4">
                  <c:v>1.1161798505205132</c:v>
                </c:pt>
                <c:pt idx="5">
                  <c:v>1.1313598964875922</c:v>
                </c:pt>
                <c:pt idx="6">
                  <c:v>1.1536476864483978</c:v>
                </c:pt>
                <c:pt idx="7">
                  <c:v>1.1764899106400761</c:v>
                </c:pt>
                <c:pt idx="8">
                  <c:v>1.1363716046872494</c:v>
                </c:pt>
                <c:pt idx="9">
                  <c:v>1.1880765127005193</c:v>
                </c:pt>
                <c:pt idx="10">
                  <c:v>1.1567112927652257</c:v>
                </c:pt>
                <c:pt idx="11">
                  <c:v>1.2210244406429722</c:v>
                </c:pt>
                <c:pt idx="12">
                  <c:v>1.1714508483528676</c:v>
                </c:pt>
                <c:pt idx="13">
                  <c:v>1.1320900998482113</c:v>
                </c:pt>
                <c:pt idx="14">
                  <c:v>1.1389958494572854</c:v>
                </c:pt>
                <c:pt idx="15">
                  <c:v>1.1253278992637978</c:v>
                </c:pt>
                <c:pt idx="16">
                  <c:v>1.1077727840352827</c:v>
                </c:pt>
                <c:pt idx="17">
                  <c:v>1.0174893021364071</c:v>
                </c:pt>
                <c:pt idx="18">
                  <c:v>1.0952254848196286</c:v>
                </c:pt>
                <c:pt idx="19">
                  <c:v>1.0372880566726703</c:v>
                </c:pt>
                <c:pt idx="20">
                  <c:v>0.9691382313492759</c:v>
                </c:pt>
                <c:pt idx="21">
                  <c:v>1.0300001122780105</c:v>
                </c:pt>
                <c:pt idx="22">
                  <c:v>1.0995251198567761</c:v>
                </c:pt>
                <c:pt idx="23">
                  <c:v>1.061701455733703</c:v>
                </c:pt>
                <c:pt idx="24">
                  <c:v>1.132516942831141</c:v>
                </c:pt>
                <c:pt idx="25">
                  <c:v>1.1522227376364029</c:v>
                </c:pt>
                <c:pt idx="26">
                  <c:v>1.1440419561991844</c:v>
                </c:pt>
                <c:pt idx="27">
                  <c:v>1.1660075617582089</c:v>
                </c:pt>
                <c:pt idx="28">
                  <c:v>1.128811920538122</c:v>
                </c:pt>
                <c:pt idx="29">
                  <c:v>1.1542101887502296</c:v>
                </c:pt>
                <c:pt idx="30">
                  <c:v>1.1777560766007342</c:v>
                </c:pt>
                <c:pt idx="31">
                  <c:v>1.1448966820635738</c:v>
                </c:pt>
                <c:pt idx="32">
                  <c:v>1.1249754797956677</c:v>
                </c:pt>
                <c:pt idx="33">
                  <c:v>1.0835763821391873</c:v>
                </c:pt>
                <c:pt idx="34">
                  <c:v>1.1534670587871649</c:v>
                </c:pt>
                <c:pt idx="35">
                  <c:v>1.1969527669034412</c:v>
                </c:pt>
                <c:pt idx="36">
                  <c:v>1.213590410363399</c:v>
                </c:pt>
                <c:pt idx="37">
                  <c:v>1.2359204739140854</c:v>
                </c:pt>
                <c:pt idx="38">
                  <c:v>1.2810315712119495</c:v>
                </c:pt>
                <c:pt idx="39">
                  <c:v>1.2615598913295278</c:v>
                </c:pt>
                <c:pt idx="40">
                  <c:v>1.2947389164714944</c:v>
                </c:pt>
                <c:pt idx="41">
                  <c:v>1.2779073105573651</c:v>
                </c:pt>
                <c:pt idx="42">
                  <c:v>1.2947756870567224</c:v>
                </c:pt>
                <c:pt idx="43">
                  <c:v>1.3119962036945769</c:v>
                </c:pt>
                <c:pt idx="44">
                  <c:v>1.3066170192594291</c:v>
                </c:pt>
                <c:pt idx="45">
                  <c:v>1.2628453491142382</c:v>
                </c:pt>
                <c:pt idx="46">
                  <c:v>1.274968664465735</c:v>
                </c:pt>
                <c:pt idx="47">
                  <c:v>1.2614539966223981</c:v>
                </c:pt>
                <c:pt idx="48">
                  <c:v>1.3481158861903568</c:v>
                </c:pt>
                <c:pt idx="49">
                  <c:v>1.3921992756687813</c:v>
                </c:pt>
                <c:pt idx="50">
                  <c:v>1.3340053459458263</c:v>
                </c:pt>
                <c:pt idx="51">
                  <c:v>1.3178638812598817</c:v>
                </c:pt>
                <c:pt idx="52">
                  <c:v>1.370842009286529</c:v>
                </c:pt>
                <c:pt idx="53">
                  <c:v>1.3526098105630182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0E6-463D-A0D2-8897DDE01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0398343"/>
        <c:axId val="1080401415"/>
      </c:lineChart>
      <c:dateAx>
        <c:axId val="1080398343"/>
        <c:scaling>
          <c:orientation val="minMax"/>
        </c:scaling>
        <c:delete val="0"/>
        <c:axPos val="b"/>
        <c:numFmt formatCode="[$-409]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0401415"/>
        <c:crosses val="autoZero"/>
        <c:auto val="1"/>
        <c:lblOffset val="100"/>
        <c:baseTimeUnit val="months"/>
      </c:dateAx>
      <c:valAx>
        <c:axId val="1080401415"/>
        <c:scaling>
          <c:orientation val="minMax"/>
          <c:min val="0.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03983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l-G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Monthly Portfolio Performance vs STOXX 600  – Rebalancing</a:t>
            </a:r>
          </a:p>
        </c:rich>
      </c:tx>
      <c:layout>
        <c:manualLayout>
          <c:xMode val="edge"/>
          <c:yMode val="edge"/>
          <c:x val="0.37451069547266513"/>
          <c:y val="1.70965853057199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2"/>
          <c:order val="2"/>
          <c:tx>
            <c:v>Rebalancing</c:v>
          </c:tx>
          <c:spPr>
            <a:solidFill>
              <a:srgbClr val="747474"/>
            </a:solidFill>
            <a:ln>
              <a:noFill/>
            </a:ln>
            <a:effectLst/>
          </c:spPr>
          <c:invertIfNegative val="0"/>
          <c:cat>
            <c:numRef>
              <c:f>'Cumulative &amp; Rebalancing Chart'!$B$1:$BC$1</c:f>
              <c:numCache>
                <c:formatCode>[$-409]mmm\-yy;@</c:formatCode>
                <c:ptCount val="54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 formatCode="mmm\-yy">
                  <c:v>44927</c:v>
                </c:pt>
                <c:pt idx="25" formatCode="mmm\-yy">
                  <c:v>44958</c:v>
                </c:pt>
                <c:pt idx="26" formatCode="mmm\-yy">
                  <c:v>44986</c:v>
                </c:pt>
                <c:pt idx="27" formatCode="mmm\-yy">
                  <c:v>45017</c:v>
                </c:pt>
                <c:pt idx="28" formatCode="mmm\-yy">
                  <c:v>45047</c:v>
                </c:pt>
                <c:pt idx="29" formatCode="mmm\-yy">
                  <c:v>45078</c:v>
                </c:pt>
                <c:pt idx="30" formatCode="mmm\-yy">
                  <c:v>45108</c:v>
                </c:pt>
                <c:pt idx="31" formatCode="mmm\-yy">
                  <c:v>45139</c:v>
                </c:pt>
                <c:pt idx="32" formatCode="mmm\-yy">
                  <c:v>45170</c:v>
                </c:pt>
                <c:pt idx="33" formatCode="mmm\-yy">
                  <c:v>45200</c:v>
                </c:pt>
                <c:pt idx="34" formatCode="mmm\-yy">
                  <c:v>45231</c:v>
                </c:pt>
                <c:pt idx="35" formatCode="mmm\-yy">
                  <c:v>45261</c:v>
                </c:pt>
                <c:pt idx="36" formatCode="mmm\-yy">
                  <c:v>45292</c:v>
                </c:pt>
                <c:pt idx="37" formatCode="mmm\-yy">
                  <c:v>45323</c:v>
                </c:pt>
                <c:pt idx="38" formatCode="mmm\-yy">
                  <c:v>45352</c:v>
                </c:pt>
                <c:pt idx="39" formatCode="mmm\-yy">
                  <c:v>45383</c:v>
                </c:pt>
                <c:pt idx="40" formatCode="mmm\-yy">
                  <c:v>45413</c:v>
                </c:pt>
                <c:pt idx="41" formatCode="mmm\-yy">
                  <c:v>45444</c:v>
                </c:pt>
                <c:pt idx="42" formatCode="mmm\-yy">
                  <c:v>45474</c:v>
                </c:pt>
                <c:pt idx="43" formatCode="mmm\-yy">
                  <c:v>45505</c:v>
                </c:pt>
                <c:pt idx="44" formatCode="mmm\-yy">
                  <c:v>45536</c:v>
                </c:pt>
                <c:pt idx="45" formatCode="mmm\-yy">
                  <c:v>45566</c:v>
                </c:pt>
                <c:pt idx="46" formatCode="mmm\-yy">
                  <c:v>45597</c:v>
                </c:pt>
                <c:pt idx="47" formatCode="mmm\-yy">
                  <c:v>45627</c:v>
                </c:pt>
                <c:pt idx="48" formatCode="mmm\-yy">
                  <c:v>45658</c:v>
                </c:pt>
                <c:pt idx="49" formatCode="mmm\-yy">
                  <c:v>45689</c:v>
                </c:pt>
                <c:pt idx="50" formatCode="mmm\-yy">
                  <c:v>45717</c:v>
                </c:pt>
                <c:pt idx="51" formatCode="mmm\-yy">
                  <c:v>45748</c:v>
                </c:pt>
                <c:pt idx="52" formatCode="mmm\-yy">
                  <c:v>45778</c:v>
                </c:pt>
                <c:pt idx="53" formatCode="mmm\-yy">
                  <c:v>45809</c:v>
                </c:pt>
              </c:numCache>
            </c:numRef>
          </c:cat>
          <c:val>
            <c:numRef>
              <c:f>'Cumulative &amp; Rebalancing Chart'!$A$4:$BC$4</c:f>
              <c:numCache>
                <c:formatCode>0</c:formatCode>
                <c:ptCount val="55"/>
                <c:pt idx="0">
                  <c:v>0</c:v>
                </c:pt>
                <c:pt idx="6">
                  <c:v>1</c:v>
                </c:pt>
                <c:pt idx="13">
                  <c:v>1</c:v>
                </c:pt>
                <c:pt idx="18">
                  <c:v>1</c:v>
                </c:pt>
                <c:pt idx="25">
                  <c:v>1</c:v>
                </c:pt>
                <c:pt idx="30">
                  <c:v>1</c:v>
                </c:pt>
                <c:pt idx="37">
                  <c:v>1</c:v>
                </c:pt>
                <c:pt idx="42">
                  <c:v>1</c:v>
                </c:pt>
                <c:pt idx="49">
                  <c:v>1</c:v>
                </c:pt>
                <c:pt idx="5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99-4EFF-B614-CB8FBFD950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26660616"/>
        <c:axId val="726645256"/>
      </c:barChart>
      <c:lineChart>
        <c:grouping val="standard"/>
        <c:varyColors val="0"/>
        <c:ser>
          <c:idx val="0"/>
          <c:order val="0"/>
          <c:tx>
            <c:v>Portfolio</c:v>
          </c:tx>
          <c:spPr>
            <a:ln w="28575" cap="rnd">
              <a:solidFill>
                <a:srgbClr val="00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'Cumulative &amp; Rebalancing Chart'!$B$1:$BC$1</c:f>
              <c:numCache>
                <c:formatCode>[$-409]mmm\-yy;@</c:formatCode>
                <c:ptCount val="54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 formatCode="mmm\-yy">
                  <c:v>44927</c:v>
                </c:pt>
                <c:pt idx="25" formatCode="mmm\-yy">
                  <c:v>44958</c:v>
                </c:pt>
                <c:pt idx="26" formatCode="mmm\-yy">
                  <c:v>44986</c:v>
                </c:pt>
                <c:pt idx="27" formatCode="mmm\-yy">
                  <c:v>45017</c:v>
                </c:pt>
                <c:pt idx="28" formatCode="mmm\-yy">
                  <c:v>45047</c:v>
                </c:pt>
                <c:pt idx="29" formatCode="mmm\-yy">
                  <c:v>45078</c:v>
                </c:pt>
                <c:pt idx="30" formatCode="mmm\-yy">
                  <c:v>45108</c:v>
                </c:pt>
                <c:pt idx="31" formatCode="mmm\-yy">
                  <c:v>45139</c:v>
                </c:pt>
                <c:pt idx="32" formatCode="mmm\-yy">
                  <c:v>45170</c:v>
                </c:pt>
                <c:pt idx="33" formatCode="mmm\-yy">
                  <c:v>45200</c:v>
                </c:pt>
                <c:pt idx="34" formatCode="mmm\-yy">
                  <c:v>45231</c:v>
                </c:pt>
                <c:pt idx="35" formatCode="mmm\-yy">
                  <c:v>45261</c:v>
                </c:pt>
                <c:pt idx="36" formatCode="mmm\-yy">
                  <c:v>45292</c:v>
                </c:pt>
                <c:pt idx="37" formatCode="mmm\-yy">
                  <c:v>45323</c:v>
                </c:pt>
                <c:pt idx="38" formatCode="mmm\-yy">
                  <c:v>45352</c:v>
                </c:pt>
                <c:pt idx="39" formatCode="mmm\-yy">
                  <c:v>45383</c:v>
                </c:pt>
                <c:pt idx="40" formatCode="mmm\-yy">
                  <c:v>45413</c:v>
                </c:pt>
                <c:pt idx="41" formatCode="mmm\-yy">
                  <c:v>45444</c:v>
                </c:pt>
                <c:pt idx="42" formatCode="mmm\-yy">
                  <c:v>45474</c:v>
                </c:pt>
                <c:pt idx="43" formatCode="mmm\-yy">
                  <c:v>45505</c:v>
                </c:pt>
                <c:pt idx="44" formatCode="mmm\-yy">
                  <c:v>45536</c:v>
                </c:pt>
                <c:pt idx="45" formatCode="mmm\-yy">
                  <c:v>45566</c:v>
                </c:pt>
                <c:pt idx="46" formatCode="mmm\-yy">
                  <c:v>45597</c:v>
                </c:pt>
                <c:pt idx="47" formatCode="mmm\-yy">
                  <c:v>45627</c:v>
                </c:pt>
                <c:pt idx="48" formatCode="mmm\-yy">
                  <c:v>45658</c:v>
                </c:pt>
                <c:pt idx="49" formatCode="mmm\-yy">
                  <c:v>45689</c:v>
                </c:pt>
                <c:pt idx="50" formatCode="mmm\-yy">
                  <c:v>45717</c:v>
                </c:pt>
                <c:pt idx="51" formatCode="mmm\-yy">
                  <c:v>45748</c:v>
                </c:pt>
                <c:pt idx="52" formatCode="mmm\-yy">
                  <c:v>45778</c:v>
                </c:pt>
                <c:pt idx="53" formatCode="mmm\-yy">
                  <c:v>45809</c:v>
                </c:pt>
              </c:numCache>
            </c:numRef>
          </c:cat>
          <c:val>
            <c:numRef>
              <c:f>'Cumulative &amp; Rebalancing Chart'!$B$7:$BC$7</c:f>
              <c:numCache>
                <c:formatCode>0.00%</c:formatCode>
                <c:ptCount val="54"/>
                <c:pt idx="0">
                  <c:v>-1.1138500359857048E-2</c:v>
                </c:pt>
                <c:pt idx="1">
                  <c:v>4.0666454245117542E-2</c:v>
                </c:pt>
                <c:pt idx="2">
                  <c:v>6.7753487103957302E-2</c:v>
                </c:pt>
                <c:pt idx="3">
                  <c:v>1.7063514820520598E-2</c:v>
                </c:pt>
                <c:pt idx="4">
                  <c:v>3.1130445534759923E-2</c:v>
                </c:pt>
                <c:pt idx="5">
                  <c:v>1.5626707666814801E-2</c:v>
                </c:pt>
                <c:pt idx="6">
                  <c:v>1.3017183684100269E-2</c:v>
                </c:pt>
                <c:pt idx="7">
                  <c:v>2.6327784208046802E-2</c:v>
                </c:pt>
                <c:pt idx="8">
                  <c:v>-2.3015983848646688E-2</c:v>
                </c:pt>
                <c:pt idx="9">
                  <c:v>4.5220431143292689E-2</c:v>
                </c:pt>
                <c:pt idx="10">
                  <c:v>-3.9072635336053867E-2</c:v>
                </c:pt>
                <c:pt idx="11">
                  <c:v>6.1042074675255131E-2</c:v>
                </c:pt>
                <c:pt idx="12">
                  <c:v>-8.5370812536690027E-3</c:v>
                </c:pt>
                <c:pt idx="13">
                  <c:v>-3.5643665976271145E-2</c:v>
                </c:pt>
                <c:pt idx="14">
                  <c:v>1.5235091170590126E-2</c:v>
                </c:pt>
                <c:pt idx="15">
                  <c:v>8.5584691089227276E-3</c:v>
                </c:pt>
                <c:pt idx="16">
                  <c:v>-1.0930672029838055E-2</c:v>
                </c:pt>
                <c:pt idx="17">
                  <c:v>-7.9129564510232772E-2</c:v>
                </c:pt>
                <c:pt idx="18">
                  <c:v>6.149272816465471E-2</c:v>
                </c:pt>
                <c:pt idx="19">
                  <c:v>-5.1050686942226253E-2</c:v>
                </c:pt>
                <c:pt idx="20">
                  <c:v>-5.2232537091284906E-2</c:v>
                </c:pt>
                <c:pt idx="21">
                  <c:v>7.4309711067956266E-2</c:v>
                </c:pt>
                <c:pt idx="22">
                  <c:v>7.751242005754945E-2</c:v>
                </c:pt>
                <c:pt idx="23">
                  <c:v>-3.3694032274164627E-2</c:v>
                </c:pt>
                <c:pt idx="24">
                  <c:v>9.0541570665171475E-2</c:v>
                </c:pt>
                <c:pt idx="25">
                  <c:v>1.7753309039267667E-2</c:v>
                </c:pt>
                <c:pt idx="26">
                  <c:v>4.159259926088274E-3</c:v>
                </c:pt>
                <c:pt idx="27">
                  <c:v>2.7647761239081685E-2</c:v>
                </c:pt>
                <c:pt idx="28">
                  <c:v>-1.1945886227406423E-2</c:v>
                </c:pt>
                <c:pt idx="29">
                  <c:v>3.160958469229274E-2</c:v>
                </c:pt>
                <c:pt idx="30">
                  <c:v>2.0722572436511853E-2</c:v>
                </c:pt>
                <c:pt idx="31">
                  <c:v>-1.8992388726915884E-2</c:v>
                </c:pt>
                <c:pt idx="32">
                  <c:v>-1.4739227089785104E-2</c:v>
                </c:pt>
                <c:pt idx="33">
                  <c:v>-3.8991361039113243E-2</c:v>
                </c:pt>
                <c:pt idx="34">
                  <c:v>8.7807537749343204E-2</c:v>
                </c:pt>
                <c:pt idx="35">
                  <c:v>4.3767273488220175E-2</c:v>
                </c:pt>
                <c:pt idx="36">
                  <c:v>1.7181683497243139E-2</c:v>
                </c:pt>
                <c:pt idx="37">
                  <c:v>3.4588418062677768E-2</c:v>
                </c:pt>
                <c:pt idx="38">
                  <c:v>5.5135343836078231E-2</c:v>
                </c:pt>
                <c:pt idx="39">
                  <c:v>-2.1948626348020682E-3</c:v>
                </c:pt>
                <c:pt idx="40">
                  <c:v>4.5078505324244261E-2</c:v>
                </c:pt>
                <c:pt idx="41">
                  <c:v>-1.1612880888066196E-2</c:v>
                </c:pt>
                <c:pt idx="42">
                  <c:v>2.8000604210409799E-2</c:v>
                </c:pt>
                <c:pt idx="43">
                  <c:v>2.7118727158425872E-2</c:v>
                </c:pt>
                <c:pt idx="44">
                  <c:v>-1.0900124787194558E-4</c:v>
                </c:pt>
                <c:pt idx="45">
                  <c:v>-2.2285314730438363E-2</c:v>
                </c:pt>
                <c:pt idx="46">
                  <c:v>1.8202994074288045E-2</c:v>
                </c:pt>
                <c:pt idx="47">
                  <c:v>2.46962770484361E-3</c:v>
                </c:pt>
                <c:pt idx="48">
                  <c:v>7.6282442676424908E-2</c:v>
                </c:pt>
                <c:pt idx="49">
                  <c:v>5.0152418035752273E-2</c:v>
                </c:pt>
                <c:pt idx="50">
                  <c:v>-2.2493403969532193E-2</c:v>
                </c:pt>
                <c:pt idx="51">
                  <c:v>7.6352855229589048E-3</c:v>
                </c:pt>
                <c:pt idx="52">
                  <c:v>4.6754752588458841E-2</c:v>
                </c:pt>
                <c:pt idx="53">
                  <c:v>-2.7096547391304321E-2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46-460B-9EA0-4F943CEAFC95}"/>
            </c:ext>
          </c:extLst>
        </c:ser>
        <c:ser>
          <c:idx val="1"/>
          <c:order val="1"/>
          <c:tx>
            <c:v>Stoxx600</c:v>
          </c:tx>
          <c:spPr>
            <a:ln w="28575" cap="flat" cmpd="sng" algn="ctr">
              <a:solidFill>
                <a:srgbClr val="808080"/>
              </a:solidFill>
              <a:prstDash val="sysDash"/>
              <a:round/>
              <a:headEnd type="none" w="med" len="med"/>
              <a:tailEnd type="none" w="med" len="med"/>
            </a:ln>
            <a:effectLst/>
          </c:spPr>
          <c:marker>
            <c:symbol val="none"/>
          </c:marker>
          <c:cat>
            <c:numRef>
              <c:f>'Cumulative &amp; Rebalancing Chart'!$B$1:$BC$1</c:f>
              <c:numCache>
                <c:formatCode>[$-409]mmm\-yy;@</c:formatCode>
                <c:ptCount val="54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 formatCode="mmm\-yy">
                  <c:v>44927</c:v>
                </c:pt>
                <c:pt idx="25" formatCode="mmm\-yy">
                  <c:v>44958</c:v>
                </c:pt>
                <c:pt idx="26" formatCode="mmm\-yy">
                  <c:v>44986</c:v>
                </c:pt>
                <c:pt idx="27" formatCode="mmm\-yy">
                  <c:v>45017</c:v>
                </c:pt>
                <c:pt idx="28" formatCode="mmm\-yy">
                  <c:v>45047</c:v>
                </c:pt>
                <c:pt idx="29" formatCode="mmm\-yy">
                  <c:v>45078</c:v>
                </c:pt>
                <c:pt idx="30" formatCode="mmm\-yy">
                  <c:v>45108</c:v>
                </c:pt>
                <c:pt idx="31" formatCode="mmm\-yy">
                  <c:v>45139</c:v>
                </c:pt>
                <c:pt idx="32" formatCode="mmm\-yy">
                  <c:v>45170</c:v>
                </c:pt>
                <c:pt idx="33" formatCode="mmm\-yy">
                  <c:v>45200</c:v>
                </c:pt>
                <c:pt idx="34" formatCode="mmm\-yy">
                  <c:v>45231</c:v>
                </c:pt>
                <c:pt idx="35" formatCode="mmm\-yy">
                  <c:v>45261</c:v>
                </c:pt>
                <c:pt idx="36" formatCode="mmm\-yy">
                  <c:v>45292</c:v>
                </c:pt>
                <c:pt idx="37" formatCode="mmm\-yy">
                  <c:v>45323</c:v>
                </c:pt>
                <c:pt idx="38" formatCode="mmm\-yy">
                  <c:v>45352</c:v>
                </c:pt>
                <c:pt idx="39" formatCode="mmm\-yy">
                  <c:v>45383</c:v>
                </c:pt>
                <c:pt idx="40" formatCode="mmm\-yy">
                  <c:v>45413</c:v>
                </c:pt>
                <c:pt idx="41" formatCode="mmm\-yy">
                  <c:v>45444</c:v>
                </c:pt>
                <c:pt idx="42" formatCode="mmm\-yy">
                  <c:v>45474</c:v>
                </c:pt>
                <c:pt idx="43" formatCode="mmm\-yy">
                  <c:v>45505</c:v>
                </c:pt>
                <c:pt idx="44" formatCode="mmm\-yy">
                  <c:v>45536</c:v>
                </c:pt>
                <c:pt idx="45" formatCode="mmm\-yy">
                  <c:v>45566</c:v>
                </c:pt>
                <c:pt idx="46" formatCode="mmm\-yy">
                  <c:v>45597</c:v>
                </c:pt>
                <c:pt idx="47" formatCode="mmm\-yy">
                  <c:v>45627</c:v>
                </c:pt>
                <c:pt idx="48" formatCode="mmm\-yy">
                  <c:v>45658</c:v>
                </c:pt>
                <c:pt idx="49" formatCode="mmm\-yy">
                  <c:v>45689</c:v>
                </c:pt>
                <c:pt idx="50" formatCode="mmm\-yy">
                  <c:v>45717</c:v>
                </c:pt>
                <c:pt idx="51" formatCode="mmm\-yy">
                  <c:v>45748</c:v>
                </c:pt>
                <c:pt idx="52" formatCode="mmm\-yy">
                  <c:v>45778</c:v>
                </c:pt>
                <c:pt idx="53" formatCode="mmm\-yy">
                  <c:v>45809</c:v>
                </c:pt>
              </c:numCache>
            </c:numRef>
          </c:cat>
          <c:val>
            <c:numRef>
              <c:f>'Cumulative &amp; Rebalancing Chart'!$B$8:$BC$8</c:f>
              <c:numCache>
                <c:formatCode>0.00%</c:formatCode>
                <c:ptCount val="54"/>
                <c:pt idx="0">
                  <c:v>-1.1000000000000001E-2</c:v>
                </c:pt>
                <c:pt idx="1">
                  <c:v>2.3099999999999999E-2</c:v>
                </c:pt>
                <c:pt idx="2">
                  <c:v>6.08E-2</c:v>
                </c:pt>
                <c:pt idx="3">
                  <c:v>1.8100000000000002E-2</c:v>
                </c:pt>
                <c:pt idx="4">
                  <c:v>2.1400000000000002E-2</c:v>
                </c:pt>
                <c:pt idx="5">
                  <c:v>1.3600000000000001E-2</c:v>
                </c:pt>
                <c:pt idx="6">
                  <c:v>1.9699999999999999E-2</c:v>
                </c:pt>
                <c:pt idx="7">
                  <c:v>1.9799999999999998E-2</c:v>
                </c:pt>
                <c:pt idx="8">
                  <c:v>-3.4099999999999998E-2</c:v>
                </c:pt>
                <c:pt idx="9">
                  <c:v>4.5499999999999999E-2</c:v>
                </c:pt>
                <c:pt idx="10">
                  <c:v>-2.64E-2</c:v>
                </c:pt>
                <c:pt idx="11">
                  <c:v>5.5599999999999997E-2</c:v>
                </c:pt>
                <c:pt idx="12">
                  <c:v>-4.0599999999999997E-2</c:v>
                </c:pt>
                <c:pt idx="13">
                  <c:v>-3.3599999999999998E-2</c:v>
                </c:pt>
                <c:pt idx="14">
                  <c:v>6.0999999999999995E-3</c:v>
                </c:pt>
                <c:pt idx="15">
                  <c:v>-1.2E-2</c:v>
                </c:pt>
                <c:pt idx="16">
                  <c:v>-1.5600000000000001E-2</c:v>
                </c:pt>
                <c:pt idx="17">
                  <c:v>-8.1500000000000003E-2</c:v>
                </c:pt>
                <c:pt idx="18">
                  <c:v>7.6399999999999996E-2</c:v>
                </c:pt>
                <c:pt idx="19">
                  <c:v>-5.2900000000000003E-2</c:v>
                </c:pt>
                <c:pt idx="20">
                  <c:v>-6.5700000000000008E-2</c:v>
                </c:pt>
                <c:pt idx="21">
                  <c:v>6.2800000000000009E-2</c:v>
                </c:pt>
                <c:pt idx="22">
                  <c:v>6.7500000000000004E-2</c:v>
                </c:pt>
                <c:pt idx="23">
                  <c:v>-3.44E-2</c:v>
                </c:pt>
                <c:pt idx="24">
                  <c:v>6.6699999999999995E-2</c:v>
                </c:pt>
                <c:pt idx="25">
                  <c:v>1.7399999999999999E-2</c:v>
                </c:pt>
                <c:pt idx="26">
                  <c:v>-7.0999999999999995E-3</c:v>
                </c:pt>
                <c:pt idx="27">
                  <c:v>1.9199999999999998E-2</c:v>
                </c:pt>
                <c:pt idx="28">
                  <c:v>-3.1899999999999998E-2</c:v>
                </c:pt>
                <c:pt idx="29">
                  <c:v>2.2499999999999999E-2</c:v>
                </c:pt>
                <c:pt idx="30">
                  <c:v>2.0400000000000001E-2</c:v>
                </c:pt>
                <c:pt idx="31">
                  <c:v>-2.7900000000000001E-2</c:v>
                </c:pt>
                <c:pt idx="32">
                  <c:v>-1.7399999999999999E-2</c:v>
                </c:pt>
                <c:pt idx="33">
                  <c:v>-3.6799999999999999E-2</c:v>
                </c:pt>
                <c:pt idx="34">
                  <c:v>6.4500000000000002E-2</c:v>
                </c:pt>
                <c:pt idx="35">
                  <c:v>3.7699999999999997E-2</c:v>
                </c:pt>
                <c:pt idx="36">
                  <c:v>1.3899999999999999E-2</c:v>
                </c:pt>
                <c:pt idx="37">
                  <c:v>1.84E-2</c:v>
                </c:pt>
                <c:pt idx="38">
                  <c:v>3.6499999999999998E-2</c:v>
                </c:pt>
                <c:pt idx="39">
                  <c:v>-1.52E-2</c:v>
                </c:pt>
                <c:pt idx="40">
                  <c:v>2.63E-2</c:v>
                </c:pt>
                <c:pt idx="41">
                  <c:v>-1.3000000000000001E-2</c:v>
                </c:pt>
                <c:pt idx="42">
                  <c:v>1.32E-2</c:v>
                </c:pt>
                <c:pt idx="43">
                  <c:v>1.3300000000000001E-2</c:v>
                </c:pt>
                <c:pt idx="44">
                  <c:v>-4.0999999999999995E-3</c:v>
                </c:pt>
                <c:pt idx="45">
                  <c:v>-3.3500000000000002E-2</c:v>
                </c:pt>
                <c:pt idx="46">
                  <c:v>9.5999999999999992E-3</c:v>
                </c:pt>
                <c:pt idx="47">
                  <c:v>-1.06E-2</c:v>
                </c:pt>
                <c:pt idx="48">
                  <c:v>6.8699999999999997E-2</c:v>
                </c:pt>
                <c:pt idx="49">
                  <c:v>3.27E-2</c:v>
                </c:pt>
                <c:pt idx="50">
                  <c:v>-4.1799999999999997E-2</c:v>
                </c:pt>
                <c:pt idx="51">
                  <c:v>-1.21E-2</c:v>
                </c:pt>
                <c:pt idx="52">
                  <c:v>4.0199999999999993E-2</c:v>
                </c:pt>
                <c:pt idx="53">
                  <c:v>-1.3300000000000001E-2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D46-460B-9EA0-4F943CEAFC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0258056"/>
        <c:axId val="1091088904"/>
      </c:lineChart>
      <c:dateAx>
        <c:axId val="1080258056"/>
        <c:scaling>
          <c:orientation val="minMax"/>
        </c:scaling>
        <c:delete val="0"/>
        <c:axPos val="b"/>
        <c:numFmt formatCode="[$-409]mmm\-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1088904"/>
        <c:crosses val="autoZero"/>
        <c:auto val="1"/>
        <c:lblOffset val="100"/>
        <c:baseTimeUnit val="months"/>
      </c:dateAx>
      <c:valAx>
        <c:axId val="1091088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0258056"/>
        <c:crosses val="autoZero"/>
        <c:crossBetween val="between"/>
      </c:valAx>
      <c:valAx>
        <c:axId val="726645256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6660616"/>
        <c:crosses val="max"/>
        <c:crossBetween val="between"/>
      </c:valAx>
      <c:dateAx>
        <c:axId val="726660616"/>
        <c:scaling>
          <c:orientation val="minMax"/>
        </c:scaling>
        <c:delete val="1"/>
        <c:axPos val="b"/>
        <c:numFmt formatCode="[$-409]mmm\-yy;@" sourceLinked="1"/>
        <c:majorTickMark val="out"/>
        <c:minorTickMark val="none"/>
        <c:tickLblPos val="nextTo"/>
        <c:crossAx val="726645256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 w="19050">
          <a:solidFill>
            <a:srgbClr val="000000"/>
          </a:solidFill>
          <a:prstDash val="solid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l-G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Scatter Plot : Portfolio and EuroStoxx600 appear highly correlated.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{"Portfolio Returns"}</c:f>
              <c:strCache>
                <c:ptCount val="1"/>
                <c:pt idx="0">
                  <c:v>Portfolio Returns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000000"/>
              </a:solidFill>
              <a:ln w="9525">
                <a:solidFill>
                  <a:srgbClr val="FFFFFF"/>
                </a:solidFill>
                <a:prstDash val="solid"/>
              </a:ln>
              <a:effectLst/>
            </c:spPr>
          </c:marker>
          <c:trendline>
            <c:spPr>
              <a:ln w="19050" cap="rnd">
                <a:solidFill>
                  <a:srgbClr val="80808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450644756361976"/>
                  <c:y val="-0.1507992549318432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'Regration Analysis'!$C$2:$BE$2</c:f>
              <c:numCache>
                <c:formatCode>0.00%</c:formatCode>
                <c:ptCount val="55"/>
                <c:pt idx="0">
                  <c:v>-1.1138500359857048E-2</c:v>
                </c:pt>
                <c:pt idx="1">
                  <c:v>4.0666454245117542E-2</c:v>
                </c:pt>
                <c:pt idx="2">
                  <c:v>6.7753487103957302E-2</c:v>
                </c:pt>
                <c:pt idx="3">
                  <c:v>1.7063514820520598E-2</c:v>
                </c:pt>
                <c:pt idx="4">
                  <c:v>3.1130445534759923E-2</c:v>
                </c:pt>
                <c:pt idx="5">
                  <c:v>1.5626707666814801E-2</c:v>
                </c:pt>
                <c:pt idx="6">
                  <c:v>1.3017183684100269E-2</c:v>
                </c:pt>
                <c:pt idx="7">
                  <c:v>2.6327784208046802E-2</c:v>
                </c:pt>
                <c:pt idx="8">
                  <c:v>-2.3015983848646688E-2</c:v>
                </c:pt>
                <c:pt idx="9">
                  <c:v>4.5220431143292689E-2</c:v>
                </c:pt>
                <c:pt idx="10">
                  <c:v>-3.9072635336053867E-2</c:v>
                </c:pt>
                <c:pt idx="11">
                  <c:v>6.1042074675255131E-2</c:v>
                </c:pt>
                <c:pt idx="12">
                  <c:v>-8.5370812536690027E-3</c:v>
                </c:pt>
                <c:pt idx="13">
                  <c:v>-3.5643665976271145E-2</c:v>
                </c:pt>
                <c:pt idx="14">
                  <c:v>1.5235091170590126E-2</c:v>
                </c:pt>
                <c:pt idx="15">
                  <c:v>8.5584691089227276E-3</c:v>
                </c:pt>
                <c:pt idx="16">
                  <c:v>-1.0930672029838055E-2</c:v>
                </c:pt>
                <c:pt idx="17">
                  <c:v>-7.9129564510232772E-2</c:v>
                </c:pt>
                <c:pt idx="18">
                  <c:v>6.149272816465471E-2</c:v>
                </c:pt>
                <c:pt idx="19">
                  <c:v>-5.1050686942226253E-2</c:v>
                </c:pt>
                <c:pt idx="20">
                  <c:v>-5.2232537091284906E-2</c:v>
                </c:pt>
                <c:pt idx="21">
                  <c:v>7.4309711067956266E-2</c:v>
                </c:pt>
                <c:pt idx="22">
                  <c:v>7.751242005754945E-2</c:v>
                </c:pt>
                <c:pt idx="23">
                  <c:v>-3.3694032274164627E-2</c:v>
                </c:pt>
                <c:pt idx="24">
                  <c:v>9.0541570665171475E-2</c:v>
                </c:pt>
                <c:pt idx="25">
                  <c:v>1.7753309039267667E-2</c:v>
                </c:pt>
                <c:pt idx="26">
                  <c:v>4.159259926088274E-3</c:v>
                </c:pt>
                <c:pt idx="27">
                  <c:v>2.7647761239081685E-2</c:v>
                </c:pt>
                <c:pt idx="28">
                  <c:v>-1.1945886227406423E-2</c:v>
                </c:pt>
                <c:pt idx="29">
                  <c:v>3.160958469229274E-2</c:v>
                </c:pt>
                <c:pt idx="30">
                  <c:v>2.0722572436511853E-2</c:v>
                </c:pt>
                <c:pt idx="31">
                  <c:v>-1.8992388726915884E-2</c:v>
                </c:pt>
                <c:pt idx="32">
                  <c:v>-1.4739227089785104E-2</c:v>
                </c:pt>
                <c:pt idx="33">
                  <c:v>-3.8991361039113243E-2</c:v>
                </c:pt>
                <c:pt idx="34">
                  <c:v>8.7807537749343204E-2</c:v>
                </c:pt>
                <c:pt idx="35">
                  <c:v>4.3767273488220175E-2</c:v>
                </c:pt>
                <c:pt idx="36">
                  <c:v>1.7181683497243139E-2</c:v>
                </c:pt>
                <c:pt idx="37">
                  <c:v>3.4588418062677768E-2</c:v>
                </c:pt>
                <c:pt idx="38">
                  <c:v>5.5135343836078231E-2</c:v>
                </c:pt>
                <c:pt idx="39">
                  <c:v>-2.1948626348020682E-3</c:v>
                </c:pt>
                <c:pt idx="40">
                  <c:v>4.5078505324244261E-2</c:v>
                </c:pt>
                <c:pt idx="41">
                  <c:v>-1.1612880888066196E-2</c:v>
                </c:pt>
                <c:pt idx="42">
                  <c:v>2.8000604210409799E-2</c:v>
                </c:pt>
                <c:pt idx="43">
                  <c:v>2.7118727158425872E-2</c:v>
                </c:pt>
                <c:pt idx="44">
                  <c:v>-1.0900124787194558E-4</c:v>
                </c:pt>
                <c:pt idx="45">
                  <c:v>-2.2285314730438363E-2</c:v>
                </c:pt>
                <c:pt idx="46">
                  <c:v>1.8202994074288045E-2</c:v>
                </c:pt>
                <c:pt idx="47">
                  <c:v>2.46962770484361E-3</c:v>
                </c:pt>
                <c:pt idx="48">
                  <c:v>7.6282442676424908E-2</c:v>
                </c:pt>
                <c:pt idx="49">
                  <c:v>5.0152418035752273E-2</c:v>
                </c:pt>
                <c:pt idx="50">
                  <c:v>-2.2493403969532193E-2</c:v>
                </c:pt>
                <c:pt idx="51">
                  <c:v>7.6352855229589048E-3</c:v>
                </c:pt>
                <c:pt idx="52">
                  <c:v>4.6754752588458841E-2</c:v>
                </c:pt>
                <c:pt idx="53">
                  <c:v>-2.7096547391304321E-2</c:v>
                </c:pt>
                <c:pt idx="54">
                  <c:v>-2.9908992502183852E-2</c:v>
                </c:pt>
              </c:numCache>
            </c:numRef>
          </c:xVal>
          <c:yVal>
            <c:numRef>
              <c:f>'Regration Analysis'!$C$3:$BE$3</c:f>
              <c:numCache>
                <c:formatCode>0.00%</c:formatCode>
                <c:ptCount val="55"/>
                <c:pt idx="0">
                  <c:v>-1.1000000000000001E-2</c:v>
                </c:pt>
                <c:pt idx="1">
                  <c:v>2.3099999999999999E-2</c:v>
                </c:pt>
                <c:pt idx="2">
                  <c:v>6.08E-2</c:v>
                </c:pt>
                <c:pt idx="3">
                  <c:v>1.8100000000000002E-2</c:v>
                </c:pt>
                <c:pt idx="4">
                  <c:v>2.1400000000000002E-2</c:v>
                </c:pt>
                <c:pt idx="5">
                  <c:v>1.3600000000000001E-2</c:v>
                </c:pt>
                <c:pt idx="6">
                  <c:v>1.9699999999999999E-2</c:v>
                </c:pt>
                <c:pt idx="7">
                  <c:v>1.9799999999999998E-2</c:v>
                </c:pt>
                <c:pt idx="8">
                  <c:v>-3.4099999999999998E-2</c:v>
                </c:pt>
                <c:pt idx="9">
                  <c:v>4.5499999999999999E-2</c:v>
                </c:pt>
                <c:pt idx="10">
                  <c:v>-2.64E-2</c:v>
                </c:pt>
                <c:pt idx="11">
                  <c:v>5.5599999999999997E-2</c:v>
                </c:pt>
                <c:pt idx="12">
                  <c:v>-4.0599999999999997E-2</c:v>
                </c:pt>
                <c:pt idx="13">
                  <c:v>-3.3599999999999998E-2</c:v>
                </c:pt>
                <c:pt idx="14">
                  <c:v>6.0999999999999995E-3</c:v>
                </c:pt>
                <c:pt idx="15">
                  <c:v>-1.2E-2</c:v>
                </c:pt>
                <c:pt idx="16">
                  <c:v>-1.5600000000000001E-2</c:v>
                </c:pt>
                <c:pt idx="17">
                  <c:v>-8.1500000000000003E-2</c:v>
                </c:pt>
                <c:pt idx="18">
                  <c:v>7.6399999999999996E-2</c:v>
                </c:pt>
                <c:pt idx="19">
                  <c:v>-5.2900000000000003E-2</c:v>
                </c:pt>
                <c:pt idx="20">
                  <c:v>-6.5700000000000008E-2</c:v>
                </c:pt>
                <c:pt idx="21">
                  <c:v>6.2800000000000009E-2</c:v>
                </c:pt>
                <c:pt idx="22">
                  <c:v>6.7500000000000004E-2</c:v>
                </c:pt>
                <c:pt idx="23">
                  <c:v>-3.44E-2</c:v>
                </c:pt>
                <c:pt idx="24">
                  <c:v>6.6699999999999995E-2</c:v>
                </c:pt>
                <c:pt idx="25">
                  <c:v>1.7399999999999999E-2</c:v>
                </c:pt>
                <c:pt idx="26">
                  <c:v>-7.0999999999999995E-3</c:v>
                </c:pt>
                <c:pt idx="27">
                  <c:v>1.9199999999999998E-2</c:v>
                </c:pt>
                <c:pt idx="28">
                  <c:v>-3.1899999999999998E-2</c:v>
                </c:pt>
                <c:pt idx="29">
                  <c:v>2.2499999999999999E-2</c:v>
                </c:pt>
                <c:pt idx="30">
                  <c:v>2.0400000000000001E-2</c:v>
                </c:pt>
                <c:pt idx="31">
                  <c:v>-2.7900000000000001E-2</c:v>
                </c:pt>
                <c:pt idx="32">
                  <c:v>-1.7399999999999999E-2</c:v>
                </c:pt>
                <c:pt idx="33">
                  <c:v>-3.6799999999999999E-2</c:v>
                </c:pt>
                <c:pt idx="34">
                  <c:v>6.4500000000000002E-2</c:v>
                </c:pt>
                <c:pt idx="35">
                  <c:v>3.7699999999999997E-2</c:v>
                </c:pt>
                <c:pt idx="36">
                  <c:v>1.3899999999999999E-2</c:v>
                </c:pt>
                <c:pt idx="37">
                  <c:v>1.84E-2</c:v>
                </c:pt>
                <c:pt idx="38">
                  <c:v>3.6499999999999998E-2</c:v>
                </c:pt>
                <c:pt idx="39">
                  <c:v>-1.52E-2</c:v>
                </c:pt>
                <c:pt idx="40">
                  <c:v>2.63E-2</c:v>
                </c:pt>
                <c:pt idx="41">
                  <c:v>-1.3000000000000001E-2</c:v>
                </c:pt>
                <c:pt idx="42">
                  <c:v>1.32E-2</c:v>
                </c:pt>
                <c:pt idx="43">
                  <c:v>1.3300000000000001E-2</c:v>
                </c:pt>
                <c:pt idx="44">
                  <c:v>-4.0999999999999995E-3</c:v>
                </c:pt>
                <c:pt idx="45">
                  <c:v>-3.3500000000000002E-2</c:v>
                </c:pt>
                <c:pt idx="46">
                  <c:v>9.5999999999999992E-3</c:v>
                </c:pt>
                <c:pt idx="47">
                  <c:v>-1.06E-2</c:v>
                </c:pt>
                <c:pt idx="48">
                  <c:v>6.8699999999999997E-2</c:v>
                </c:pt>
                <c:pt idx="49">
                  <c:v>3.27E-2</c:v>
                </c:pt>
                <c:pt idx="50">
                  <c:v>-4.1799999999999997E-2</c:v>
                </c:pt>
                <c:pt idx="51">
                  <c:v>-1.21E-2</c:v>
                </c:pt>
                <c:pt idx="52">
                  <c:v>4.0199999999999993E-2</c:v>
                </c:pt>
                <c:pt idx="53">
                  <c:v>-1.3300000000000001E-2</c:v>
                </c:pt>
                <c:pt idx="54">
                  <c:v>-1.3300000000000001E-2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5B3579F7-1557-4A97-AADF-63325FA928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27090695"/>
        <c:axId val="1727107079"/>
      </c:scatterChart>
      <c:valAx>
        <c:axId val="17270906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Portfolio Returns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7107079"/>
        <c:crosses val="autoZero"/>
        <c:crossBetween val="midCat"/>
      </c:valAx>
      <c:valAx>
        <c:axId val="1727107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Eurostoxx Returns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709069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l-G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Cumulative Return vs Market Cap</a:t>
            </a:r>
          </a:p>
        </c:rich>
      </c:tx>
      <c:layout>
        <c:manualLayout>
          <c:xMode val="edge"/>
          <c:yMode val="edge"/>
          <c:x val="0.36526585788886184"/>
          <c:y val="2.04125169764389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000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00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3393950089216435E-3"/>
                  <c:y val="-0.41227613990111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'Regration Analysis'!$C$25:$C$72</c:f>
              <c:numCache>
                <c:formatCode>0.00%</c:formatCode>
                <c:ptCount val="48"/>
                <c:pt idx="0">
                  <c:v>3.5588065061597618E-2</c:v>
                </c:pt>
                <c:pt idx="1">
                  <c:v>2.7732144022799332E-2</c:v>
                </c:pt>
                <c:pt idx="2">
                  <c:v>4.1876618486555106E-2</c:v>
                </c:pt>
                <c:pt idx="3">
                  <c:v>1.9789249000787379E-2</c:v>
                </c:pt>
                <c:pt idx="4">
                  <c:v>2.0866244566487557E-2</c:v>
                </c:pt>
                <c:pt idx="5">
                  <c:v>2.453741286530331E-2</c:v>
                </c:pt>
                <c:pt idx="6">
                  <c:v>2.0736035148757326E-2</c:v>
                </c:pt>
                <c:pt idx="7">
                  <c:v>1.3585860987140208E-2</c:v>
                </c:pt>
                <c:pt idx="8">
                  <c:v>1.5964138075933665E-2</c:v>
                </c:pt>
                <c:pt idx="9">
                  <c:v>8.1131292222951235E-3</c:v>
                </c:pt>
                <c:pt idx="10">
                  <c:v>7.6421098673431498E-3</c:v>
                </c:pt>
                <c:pt idx="11">
                  <c:v>2.4123586697385901E-2</c:v>
                </c:pt>
                <c:pt idx="12">
                  <c:v>5.2553617033479494E-3</c:v>
                </c:pt>
                <c:pt idx="13">
                  <c:v>1.0115979027640165E-2</c:v>
                </c:pt>
                <c:pt idx="14">
                  <c:v>5.0412432616739888E-3</c:v>
                </c:pt>
                <c:pt idx="15">
                  <c:v>3.4871477637751669E-2</c:v>
                </c:pt>
                <c:pt idx="16">
                  <c:v>2.8264430440877897E-2</c:v>
                </c:pt>
                <c:pt idx="17">
                  <c:v>2.1084065300776222E-2</c:v>
                </c:pt>
                <c:pt idx="18">
                  <c:v>9.2553059552897388E-2</c:v>
                </c:pt>
                <c:pt idx="19">
                  <c:v>6.9977224283304107E-3</c:v>
                </c:pt>
                <c:pt idx="20">
                  <c:v>4.2312840288281084E-3</c:v>
                </c:pt>
                <c:pt idx="21">
                  <c:v>3.0685018585256962E-2</c:v>
                </c:pt>
                <c:pt idx="22">
                  <c:v>1.6475076000147304E-2</c:v>
                </c:pt>
                <c:pt idx="23">
                  <c:v>5.9784903646247223E-3</c:v>
                </c:pt>
                <c:pt idx="24">
                  <c:v>9.3917381658508159E-3</c:v>
                </c:pt>
                <c:pt idx="25">
                  <c:v>2.4357054449007709E-2</c:v>
                </c:pt>
                <c:pt idx="26">
                  <c:v>7.350639815514981E-3</c:v>
                </c:pt>
                <c:pt idx="27">
                  <c:v>6.3633074480284879E-3</c:v>
                </c:pt>
                <c:pt idx="28">
                  <c:v>2.802444856123687E-3</c:v>
                </c:pt>
                <c:pt idx="29">
                  <c:v>5.9651813797145792E-3</c:v>
                </c:pt>
                <c:pt idx="30">
                  <c:v>5.3945146006699751E-3</c:v>
                </c:pt>
                <c:pt idx="31">
                  <c:v>3.7943849014685505E-3</c:v>
                </c:pt>
                <c:pt idx="32">
                  <c:v>7.2792493394155944E-3</c:v>
                </c:pt>
                <c:pt idx="33">
                  <c:v>-6.0210528153801235E-3</c:v>
                </c:pt>
                <c:pt idx="34">
                  <c:v>1.399191970841418E-2</c:v>
                </c:pt>
                <c:pt idx="35">
                  <c:v>1.2654255523583124E-2</c:v>
                </c:pt>
                <c:pt idx="36">
                  <c:v>2.3310210767160111E-3</c:v>
                </c:pt>
                <c:pt idx="37">
                  <c:v>2.6757546944961019E-2</c:v>
                </c:pt>
                <c:pt idx="38">
                  <c:v>1.7230488546708944E-3</c:v>
                </c:pt>
                <c:pt idx="39">
                  <c:v>4.0241814874333537E-2</c:v>
                </c:pt>
                <c:pt idx="40">
                  <c:v>4.3212346059779305E-2</c:v>
                </c:pt>
                <c:pt idx="41">
                  <c:v>-1.0141023126303161E-2</c:v>
                </c:pt>
                <c:pt idx="42">
                  <c:v>-1.0261889580597261E-3</c:v>
                </c:pt>
                <c:pt idx="43">
                  <c:v>1.4508874479721934E-2</c:v>
                </c:pt>
                <c:pt idx="44">
                  <c:v>5.2623203687092168E-3</c:v>
                </c:pt>
                <c:pt idx="45">
                  <c:v>2.4415979293503254E-2</c:v>
                </c:pt>
                <c:pt idx="46">
                  <c:v>2.022930746140772E-2</c:v>
                </c:pt>
                <c:pt idx="47">
                  <c:v>-1.3743423611047856E-3</c:v>
                </c:pt>
              </c:numCache>
            </c:numRef>
          </c:xVal>
          <c:yVal>
            <c:numRef>
              <c:f>'Regration Analysis'!$E$25:$E$72</c:f>
              <c:numCache>
                <c:formatCode>0.00%</c:formatCode>
                <c:ptCount val="48"/>
                <c:pt idx="0">
                  <c:v>6.3E-3</c:v>
                </c:pt>
                <c:pt idx="1">
                  <c:v>7.4000000000000003E-3</c:v>
                </c:pt>
                <c:pt idx="2">
                  <c:v>6.6E-3</c:v>
                </c:pt>
                <c:pt idx="3">
                  <c:v>4.5999999999999999E-3</c:v>
                </c:pt>
                <c:pt idx="4">
                  <c:v>4.5999999999999999E-3</c:v>
                </c:pt>
                <c:pt idx="5">
                  <c:v>4.0000000000000001E-3</c:v>
                </c:pt>
                <c:pt idx="6">
                  <c:v>1.2500000000000001E-2</c:v>
                </c:pt>
                <c:pt idx="7">
                  <c:v>8.0999999999999996E-3</c:v>
                </c:pt>
                <c:pt idx="8">
                  <c:v>7.1999999999999998E-3</c:v>
                </c:pt>
                <c:pt idx="9">
                  <c:v>4.1000000000000003E-3</c:v>
                </c:pt>
                <c:pt idx="10">
                  <c:v>3.3999999999999998E-3</c:v>
                </c:pt>
                <c:pt idx="11">
                  <c:v>7.9000000000000008E-3</c:v>
                </c:pt>
                <c:pt idx="12">
                  <c:v>6.1000000000000004E-3</c:v>
                </c:pt>
                <c:pt idx="13">
                  <c:v>4.7999999999999996E-3</c:v>
                </c:pt>
                <c:pt idx="14">
                  <c:v>3.7000000000000002E-3</c:v>
                </c:pt>
                <c:pt idx="15">
                  <c:v>1.43E-2</c:v>
                </c:pt>
                <c:pt idx="16">
                  <c:v>1.0999999999999999E-2</c:v>
                </c:pt>
                <c:pt idx="17">
                  <c:v>6.8999999999999999E-3</c:v>
                </c:pt>
                <c:pt idx="18">
                  <c:v>6.7000000000000002E-3</c:v>
                </c:pt>
                <c:pt idx="19">
                  <c:v>3.3999999999999998E-3</c:v>
                </c:pt>
                <c:pt idx="20">
                  <c:v>2.3999999999999998E-3</c:v>
                </c:pt>
                <c:pt idx="21">
                  <c:v>8.0000000000000002E-3</c:v>
                </c:pt>
                <c:pt idx="22">
                  <c:v>6.6E-3</c:v>
                </c:pt>
                <c:pt idx="23">
                  <c:v>1.9E-3</c:v>
                </c:pt>
                <c:pt idx="24">
                  <c:v>1.7299999999999999E-2</c:v>
                </c:pt>
                <c:pt idx="25">
                  <c:v>1.67E-2</c:v>
                </c:pt>
                <c:pt idx="26">
                  <c:v>9.7000000000000003E-3</c:v>
                </c:pt>
                <c:pt idx="27">
                  <c:v>6.3E-3</c:v>
                </c:pt>
                <c:pt idx="28">
                  <c:v>2.1899999999999999E-2</c:v>
                </c:pt>
                <c:pt idx="29">
                  <c:v>1.2699999999999999E-2</c:v>
                </c:pt>
                <c:pt idx="30">
                  <c:v>8.2000000000000007E-3</c:v>
                </c:pt>
                <c:pt idx="31">
                  <c:v>4.1999999999999997E-3</c:v>
                </c:pt>
                <c:pt idx="32">
                  <c:v>3.0000000000000001E-3</c:v>
                </c:pt>
                <c:pt idx="33">
                  <c:v>3.3E-3</c:v>
                </c:pt>
                <c:pt idx="34">
                  <c:v>3.3E-3</c:v>
                </c:pt>
                <c:pt idx="35">
                  <c:v>4.5999999999999999E-3</c:v>
                </c:pt>
                <c:pt idx="36">
                  <c:v>2.7000000000000001E-3</c:v>
                </c:pt>
                <c:pt idx="37">
                  <c:v>2.1999999999999999E-2</c:v>
                </c:pt>
                <c:pt idx="38">
                  <c:v>3.5999999999999999E-3</c:v>
                </c:pt>
                <c:pt idx="39">
                  <c:v>2.3699999999999999E-2</c:v>
                </c:pt>
                <c:pt idx="40">
                  <c:v>4.4000000000000003E-3</c:v>
                </c:pt>
                <c:pt idx="41">
                  <c:v>3.3999999999999998E-3</c:v>
                </c:pt>
                <c:pt idx="42">
                  <c:v>1.1999999999999999E-3</c:v>
                </c:pt>
                <c:pt idx="43">
                  <c:v>8.2000000000000007E-3</c:v>
                </c:pt>
                <c:pt idx="44">
                  <c:v>5.4000000000000003E-3</c:v>
                </c:pt>
                <c:pt idx="45">
                  <c:v>1.04E-2</c:v>
                </c:pt>
                <c:pt idx="46">
                  <c:v>1.9E-3</c:v>
                </c:pt>
                <c:pt idx="47">
                  <c:v>1.9E-3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ABB-46C0-9924-DD71EEABF8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0397063"/>
        <c:axId val="1370562568"/>
      </c:scatterChart>
      <c:valAx>
        <c:axId val="17403970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0562568"/>
        <c:crosses val="autoZero"/>
        <c:crossBetween val="midCat"/>
      </c:valAx>
      <c:valAx>
        <c:axId val="1370562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039706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l-G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Cumulative Return vs Beta per Stock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000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000000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2099864328553132E-2"/>
                  <c:y val="-0.3599904201918894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'Regration Analysis'!$C$25:$C$72</c:f>
              <c:numCache>
                <c:formatCode>0.00%</c:formatCode>
                <c:ptCount val="48"/>
                <c:pt idx="0">
                  <c:v>3.5588065061597618E-2</c:v>
                </c:pt>
                <c:pt idx="1">
                  <c:v>2.7732144022799332E-2</c:v>
                </c:pt>
                <c:pt idx="2">
                  <c:v>4.1876618486555106E-2</c:v>
                </c:pt>
                <c:pt idx="3">
                  <c:v>1.9789249000787379E-2</c:v>
                </c:pt>
                <c:pt idx="4">
                  <c:v>2.0866244566487557E-2</c:v>
                </c:pt>
                <c:pt idx="5">
                  <c:v>2.453741286530331E-2</c:v>
                </c:pt>
                <c:pt idx="6">
                  <c:v>2.0736035148757326E-2</c:v>
                </c:pt>
                <c:pt idx="7">
                  <c:v>1.3585860987140208E-2</c:v>
                </c:pt>
                <c:pt idx="8">
                  <c:v>1.5964138075933665E-2</c:v>
                </c:pt>
                <c:pt idx="9">
                  <c:v>8.1131292222951235E-3</c:v>
                </c:pt>
                <c:pt idx="10">
                  <c:v>7.6421098673431498E-3</c:v>
                </c:pt>
                <c:pt idx="11">
                  <c:v>2.4123586697385901E-2</c:v>
                </c:pt>
                <c:pt idx="12">
                  <c:v>5.2553617033479494E-3</c:v>
                </c:pt>
                <c:pt idx="13">
                  <c:v>1.0115979027640165E-2</c:v>
                </c:pt>
                <c:pt idx="14">
                  <c:v>5.0412432616739888E-3</c:v>
                </c:pt>
                <c:pt idx="15">
                  <c:v>3.4871477637751669E-2</c:v>
                </c:pt>
                <c:pt idx="16">
                  <c:v>2.8264430440877897E-2</c:v>
                </c:pt>
                <c:pt idx="17">
                  <c:v>2.1084065300776222E-2</c:v>
                </c:pt>
                <c:pt idx="18">
                  <c:v>9.2553059552897388E-2</c:v>
                </c:pt>
                <c:pt idx="19">
                  <c:v>6.9977224283304107E-3</c:v>
                </c:pt>
                <c:pt idx="20">
                  <c:v>4.2312840288281084E-3</c:v>
                </c:pt>
                <c:pt idx="21">
                  <c:v>3.0685018585256962E-2</c:v>
                </c:pt>
                <c:pt idx="22">
                  <c:v>1.6475076000147304E-2</c:v>
                </c:pt>
                <c:pt idx="23">
                  <c:v>5.9784903646247223E-3</c:v>
                </c:pt>
                <c:pt idx="24">
                  <c:v>9.3917381658508159E-3</c:v>
                </c:pt>
                <c:pt idx="25">
                  <c:v>2.4357054449007709E-2</c:v>
                </c:pt>
                <c:pt idx="26">
                  <c:v>7.350639815514981E-3</c:v>
                </c:pt>
                <c:pt idx="27">
                  <c:v>6.3633074480284879E-3</c:v>
                </c:pt>
                <c:pt idx="28">
                  <c:v>2.802444856123687E-3</c:v>
                </c:pt>
                <c:pt idx="29">
                  <c:v>5.9651813797145792E-3</c:v>
                </c:pt>
                <c:pt idx="30">
                  <c:v>5.3945146006699751E-3</c:v>
                </c:pt>
                <c:pt idx="31">
                  <c:v>3.7943849014685505E-3</c:v>
                </c:pt>
                <c:pt idx="32">
                  <c:v>7.2792493394155944E-3</c:v>
                </c:pt>
                <c:pt idx="33">
                  <c:v>-6.0210528153801235E-3</c:v>
                </c:pt>
                <c:pt idx="34">
                  <c:v>1.399191970841418E-2</c:v>
                </c:pt>
                <c:pt idx="35">
                  <c:v>1.2654255523583124E-2</c:v>
                </c:pt>
                <c:pt idx="36">
                  <c:v>2.3310210767160111E-3</c:v>
                </c:pt>
                <c:pt idx="37">
                  <c:v>2.6757546944961019E-2</c:v>
                </c:pt>
                <c:pt idx="38">
                  <c:v>1.7230488546708944E-3</c:v>
                </c:pt>
                <c:pt idx="39">
                  <c:v>4.0241814874333537E-2</c:v>
                </c:pt>
                <c:pt idx="40">
                  <c:v>4.3212346059779305E-2</c:v>
                </c:pt>
                <c:pt idx="41">
                  <c:v>-1.0141023126303161E-2</c:v>
                </c:pt>
                <c:pt idx="42">
                  <c:v>-1.0261889580597261E-3</c:v>
                </c:pt>
                <c:pt idx="43">
                  <c:v>1.4508874479721934E-2</c:v>
                </c:pt>
                <c:pt idx="44">
                  <c:v>5.2623203687092168E-3</c:v>
                </c:pt>
                <c:pt idx="45">
                  <c:v>2.4415979293503254E-2</c:v>
                </c:pt>
                <c:pt idx="46">
                  <c:v>2.022930746140772E-2</c:v>
                </c:pt>
                <c:pt idx="47">
                  <c:v>-1.3743423611047856E-3</c:v>
                </c:pt>
              </c:numCache>
            </c:numRef>
          </c:xVal>
          <c:yVal>
            <c:numRef>
              <c:f>'Regration Analysis'!$D$25:$D$72</c:f>
              <c:numCache>
                <c:formatCode>0.00000</c:formatCode>
                <c:ptCount val="48"/>
                <c:pt idx="0">
                  <c:v>2.8531159587722531E-2</c:v>
                </c:pt>
                <c:pt idx="1">
                  <c:v>3.5712979632447864E-2</c:v>
                </c:pt>
                <c:pt idx="2">
                  <c:v>3.4956234832192123E-2</c:v>
                </c:pt>
                <c:pt idx="3">
                  <c:v>2.437623754215127E-2</c:v>
                </c:pt>
                <c:pt idx="4">
                  <c:v>2.4288726549736465E-2</c:v>
                </c:pt>
                <c:pt idx="5">
                  <c:v>2.0030777670482409E-2</c:v>
                </c:pt>
                <c:pt idx="6">
                  <c:v>2.1371262102989147E-2</c:v>
                </c:pt>
                <c:pt idx="7">
                  <c:v>8.7212204681007856E-3</c:v>
                </c:pt>
                <c:pt idx="8">
                  <c:v>8.4357143219418885E-3</c:v>
                </c:pt>
                <c:pt idx="9">
                  <c:v>4.9247001045056634E-3</c:v>
                </c:pt>
                <c:pt idx="10">
                  <c:v>6.0050828021323355E-3</c:v>
                </c:pt>
                <c:pt idx="11">
                  <c:v>2.3222378960820342E-2</c:v>
                </c:pt>
                <c:pt idx="12">
                  <c:v>8.4888298776929823E-3</c:v>
                </c:pt>
                <c:pt idx="13">
                  <c:v>6.5030073017206718E-3</c:v>
                </c:pt>
                <c:pt idx="14">
                  <c:v>1.3935257914634762E-2</c:v>
                </c:pt>
                <c:pt idx="15">
                  <c:v>5.6718390370678815E-2</c:v>
                </c:pt>
                <c:pt idx="16">
                  <c:v>4.3971619349631182E-2</c:v>
                </c:pt>
                <c:pt idx="17">
                  <c:v>2.3929613614593597E-2</c:v>
                </c:pt>
                <c:pt idx="18">
                  <c:v>6.584361556734088E-3</c:v>
                </c:pt>
                <c:pt idx="19">
                  <c:v>1.4645380434741716E-2</c:v>
                </c:pt>
                <c:pt idx="20">
                  <c:v>8.8992034176345568E-3</c:v>
                </c:pt>
                <c:pt idx="21">
                  <c:v>2.3115001851477936E-2</c:v>
                </c:pt>
                <c:pt idx="22">
                  <c:v>2.3568567499567733E-2</c:v>
                </c:pt>
                <c:pt idx="23">
                  <c:v>7.1094753202187271E-3</c:v>
                </c:pt>
                <c:pt idx="24">
                  <c:v>1.9283322741186611E-2</c:v>
                </c:pt>
                <c:pt idx="25">
                  <c:v>2.6998359583775534E-2</c:v>
                </c:pt>
                <c:pt idx="26">
                  <c:v>1.6691001268357517E-2</c:v>
                </c:pt>
                <c:pt idx="27">
                  <c:v>1.2899233402177824E-2</c:v>
                </c:pt>
                <c:pt idx="28">
                  <c:v>3.192717143108427E-2</c:v>
                </c:pt>
                <c:pt idx="29">
                  <c:v>1.2730229612941764E-2</c:v>
                </c:pt>
                <c:pt idx="30">
                  <c:v>1.7819508974344353E-2</c:v>
                </c:pt>
                <c:pt idx="31">
                  <c:v>3.2004418282225036E-3</c:v>
                </c:pt>
                <c:pt idx="32">
                  <c:v>5.7287183580234493E-3</c:v>
                </c:pt>
                <c:pt idx="33">
                  <c:v>3.5435886705424476E-2</c:v>
                </c:pt>
                <c:pt idx="34">
                  <c:v>3.4130993547506566E-2</c:v>
                </c:pt>
                <c:pt idx="35">
                  <c:v>1.6744257377235467E-2</c:v>
                </c:pt>
                <c:pt idx="36">
                  <c:v>7.7338262927711555E-3</c:v>
                </c:pt>
                <c:pt idx="37">
                  <c:v>5.4774060991768132E-2</c:v>
                </c:pt>
                <c:pt idx="38">
                  <c:v>9.8744198402935524E-3</c:v>
                </c:pt>
                <c:pt idx="39">
                  <c:v>4.1704572870546415E-2</c:v>
                </c:pt>
                <c:pt idx="40">
                  <c:v>5.9809644177399264E-2</c:v>
                </c:pt>
                <c:pt idx="41">
                  <c:v>3.0764156087263E-2</c:v>
                </c:pt>
                <c:pt idx="42">
                  <c:v>1.7983779761746972E-3</c:v>
                </c:pt>
                <c:pt idx="43">
                  <c:v>1.9690973427135508E-2</c:v>
                </c:pt>
                <c:pt idx="44">
                  <c:v>1.6462592360524431E-2</c:v>
                </c:pt>
                <c:pt idx="45">
                  <c:v>1.5277724120702938E-2</c:v>
                </c:pt>
                <c:pt idx="46">
                  <c:v>1.8614040921055376E-2</c:v>
                </c:pt>
                <c:pt idx="47">
                  <c:v>2.0504577211759654E-2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2B8-4656-AF87-C25242E56C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4664200"/>
        <c:axId val="1374666248"/>
      </c:scatterChart>
      <c:valAx>
        <c:axId val="1374664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4666248"/>
        <c:crosses val="autoZero"/>
        <c:crossBetween val="midCat"/>
      </c:valAx>
      <c:valAx>
        <c:axId val="1374666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4664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504825</xdr:colOff>
      <xdr:row>13</xdr:row>
      <xdr:rowOff>142875</xdr:rowOff>
    </xdr:from>
    <xdr:to>
      <xdr:col>45</xdr:col>
      <xdr:colOff>19050</xdr:colOff>
      <xdr:row>37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DEB141C-1F61-30AB-5476-E6DF96C0CF9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295275</xdr:colOff>
      <xdr:row>1</xdr:row>
      <xdr:rowOff>171450</xdr:rowOff>
    </xdr:from>
    <xdr:to>
      <xdr:col>26</xdr:col>
      <xdr:colOff>266700</xdr:colOff>
      <xdr:row>50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453CAC4-89A5-A26E-830F-BC9328681E23}"/>
            </a:ext>
            <a:ext uri="{147F2762-F138-4A5C-976F-8EAC2B608ADB}">
              <a16:predDERef xmlns:a16="http://schemas.microsoft.com/office/drawing/2014/main" pred="{6EF16729-2F18-FA8E-D118-50C458AC050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66</xdr:col>
      <xdr:colOff>390525</xdr:colOff>
      <xdr:row>2</xdr:row>
      <xdr:rowOff>85725</xdr:rowOff>
    </xdr:from>
    <xdr:to>
      <xdr:col>77</xdr:col>
      <xdr:colOff>590550</xdr:colOff>
      <xdr:row>28</xdr:row>
      <xdr:rowOff>38100</xdr:rowOff>
    </xdr:to>
    <xdr:graphicFrame macro="">
      <xdr:nvGraphicFramePr>
        <xdr:cNvPr id="3" name="Γράφημα 2">
          <a:extLst>
            <a:ext uri="{FF2B5EF4-FFF2-40B4-BE49-F238E27FC236}">
              <a16:creationId xmlns:a16="http://schemas.microsoft.com/office/drawing/2014/main" id="{90BEA191-8698-4B2D-906C-1007D212BD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11</xdr:row>
      <xdr:rowOff>28575</xdr:rowOff>
    </xdr:from>
    <xdr:to>
      <xdr:col>18</xdr:col>
      <xdr:colOff>419100</xdr:colOff>
      <xdr:row>33</xdr:row>
      <xdr:rowOff>114300</xdr:rowOff>
    </xdr:to>
    <xdr:graphicFrame macro="">
      <xdr:nvGraphicFramePr>
        <xdr:cNvPr id="8" name="Γράφημα 7">
          <a:extLst>
            <a:ext uri="{FF2B5EF4-FFF2-40B4-BE49-F238E27FC236}">
              <a16:creationId xmlns:a16="http://schemas.microsoft.com/office/drawing/2014/main" id="{84350FEA-80B7-7D94-2843-2ACF38FF7E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381000</xdr:colOff>
      <xdr:row>11</xdr:row>
      <xdr:rowOff>9525</xdr:rowOff>
    </xdr:from>
    <xdr:to>
      <xdr:col>33</xdr:col>
      <xdr:colOff>257175</xdr:colOff>
      <xdr:row>33</xdr:row>
      <xdr:rowOff>104775</xdr:rowOff>
    </xdr:to>
    <xdr:graphicFrame macro="">
      <xdr:nvGraphicFramePr>
        <xdr:cNvPr id="5" name="Γράφημα 4">
          <a:extLst>
            <a:ext uri="{FF2B5EF4-FFF2-40B4-BE49-F238E27FC236}">
              <a16:creationId xmlns:a16="http://schemas.microsoft.com/office/drawing/2014/main" id="{4075B328-9B90-3DD6-1B6A-A1100B5625A3}"/>
            </a:ext>
            <a:ext uri="{147F2762-F138-4A5C-976F-8EAC2B608ADB}">
              <a16:predDERef xmlns:a16="http://schemas.microsoft.com/office/drawing/2014/main" pred="{84350FEA-80B7-7D94-2843-2ACF38FF7E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590550</xdr:colOff>
      <xdr:row>7</xdr:row>
      <xdr:rowOff>171450</xdr:rowOff>
    </xdr:from>
    <xdr:to>
      <xdr:col>10</xdr:col>
      <xdr:colOff>676275</xdr:colOff>
      <xdr:row>26</xdr:row>
      <xdr:rowOff>19050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4469D78-AA0B-4FF3-C673-A0789400B8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67750" y="1866900"/>
          <a:ext cx="5153025" cy="34671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4</xdr:row>
      <xdr:rowOff>0</xdr:rowOff>
    </xdr:from>
    <xdr:to>
      <xdr:col>18</xdr:col>
      <xdr:colOff>285750</xdr:colOff>
      <xdr:row>20</xdr:row>
      <xdr:rowOff>104775</xdr:rowOff>
    </xdr:to>
    <xdr:graphicFrame macro="">
      <xdr:nvGraphicFramePr>
        <xdr:cNvPr id="2" name="Chart 1" descr="Chart type: Scatter. Field: Field1 and Field: Field2 appear highly correlated.&#10;&#10;Description automatically generated">
          <a:extLst>
            <a:ext uri="{FF2B5EF4-FFF2-40B4-BE49-F238E27FC236}">
              <a16:creationId xmlns:a16="http://schemas.microsoft.com/office/drawing/2014/main" id="{EF09F6BB-10A6-0F63-D1D8-DB1518DCC5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552450</xdr:colOff>
      <xdr:row>24</xdr:row>
      <xdr:rowOff>0</xdr:rowOff>
    </xdr:from>
    <xdr:to>
      <xdr:col>19</xdr:col>
      <xdr:colOff>238125</xdr:colOff>
      <xdr:row>40</xdr:row>
      <xdr:rowOff>19050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055EADF-2631-5DAB-BD30-2FA57605B7F8}"/>
            </a:ext>
            <a:ext uri="{147F2762-F138-4A5C-976F-8EAC2B608ADB}">
              <a16:predDERef xmlns:a16="http://schemas.microsoft.com/office/drawing/2014/main" pred="{EF09F6BB-10A6-0F63-D1D8-DB1518DCC5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571500</xdr:colOff>
      <xdr:row>40</xdr:row>
      <xdr:rowOff>180975</xdr:rowOff>
    </xdr:from>
    <xdr:to>
      <xdr:col>19</xdr:col>
      <xdr:colOff>238125</xdr:colOff>
      <xdr:row>58</xdr:row>
      <xdr:rowOff>38100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46D43E7-BE79-3035-85D3-5B5ABFE620A1}"/>
            </a:ext>
            <a:ext uri="{147F2762-F138-4A5C-976F-8EAC2B608ADB}">
              <a16:predDERef xmlns:a16="http://schemas.microsoft.com/office/drawing/2014/main" pred="{D055EADF-2631-5DAB-BD30-2FA57605B7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5884.711521064812" createdVersion="8" refreshedVersion="8" minRefreshableVersion="3" recordCount="48" xr:uid="{2986300B-181C-4F4C-82A8-434201FD6777}">
  <cacheSource type="worksheet">
    <worksheetSource ref="BF1:BG49" sheet="Monthly Portfolio Return"/>
  </cacheSource>
  <cacheFields count="2">
    <cacheField name="Total Monthly Return " numFmtId="10">
      <sharedItems containsSemiMixedTypes="0" containsString="0" containsNumber="1" minValue="-1.0141023126303161E-2" maxValue="9.2553059552897388E-2"/>
    </cacheField>
    <cacheField name="Sector" numFmtId="0">
      <sharedItems containsBlank="1" count="12">
        <s v="Financials"/>
        <s v="Industrials"/>
        <s v="Health Care"/>
        <s v="Consumer Staples"/>
        <s v="Consumer Discretionary"/>
        <s v="Technology"/>
        <s v="Materials"/>
        <s v="Energy"/>
        <s v="Utilities"/>
        <s v="Communications"/>
        <s v="Real Estate"/>
        <m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5884.711521064812" createdVersion="8" refreshedVersion="8" minRefreshableVersion="3" recordCount="48" xr:uid="{1A471AC1-FCF0-40E9-A31C-DA85ED7E0BDC}">
  <cacheSource type="worksheet">
    <worksheetSource ref="BG1:BH49" sheet="Monthly Portfolio Return"/>
  </cacheSource>
  <cacheFields count="2">
    <cacheField name="Sector" numFmtId="0">
      <sharedItems containsBlank="1" count="12">
        <s v="Financials"/>
        <s v="Industrials"/>
        <s v="Health Care"/>
        <s v="Consumer Staples"/>
        <s v="Consumer Discretionary"/>
        <s v="Technology"/>
        <s v="Materials"/>
        <s v="Energy"/>
        <s v="Utilities"/>
        <s v="Communications"/>
        <s v="Real Estate"/>
        <m u="1"/>
      </sharedItems>
    </cacheField>
    <cacheField name="Performance Category" numFmtId="0">
      <sharedItems count="3">
        <s v="High Positive"/>
        <s v="Positive"/>
        <s v="Negativ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">
  <r>
    <n v="3.5588065061597618E-2"/>
    <x v="0"/>
  </r>
  <r>
    <n v="2.7732144022799332E-2"/>
    <x v="0"/>
  </r>
  <r>
    <n v="4.1876618486555106E-2"/>
    <x v="0"/>
  </r>
  <r>
    <n v="1.9789249000787379E-2"/>
    <x v="0"/>
  </r>
  <r>
    <n v="2.0866244566487557E-2"/>
    <x v="0"/>
  </r>
  <r>
    <n v="2.453741286530331E-2"/>
    <x v="0"/>
  </r>
  <r>
    <n v="2.0736035148757326E-2"/>
    <x v="0"/>
  </r>
  <r>
    <n v="1.3585860987140208E-2"/>
    <x v="0"/>
  </r>
  <r>
    <n v="1.5964138075933665E-2"/>
    <x v="0"/>
  </r>
  <r>
    <n v="8.1131292222951235E-3"/>
    <x v="0"/>
  </r>
  <r>
    <n v="7.6421098673431498E-3"/>
    <x v="0"/>
  </r>
  <r>
    <n v="2.4123586697385901E-2"/>
    <x v="0"/>
  </r>
  <r>
    <n v="5.2553617033479494E-3"/>
    <x v="0"/>
  </r>
  <r>
    <n v="1.0115979027640165E-2"/>
    <x v="0"/>
  </r>
  <r>
    <n v="5.0412432616739888E-3"/>
    <x v="0"/>
  </r>
  <r>
    <n v="3.4871477637751669E-2"/>
    <x v="1"/>
  </r>
  <r>
    <n v="2.8264430440877897E-2"/>
    <x v="1"/>
  </r>
  <r>
    <n v="2.1084065300776222E-2"/>
    <x v="1"/>
  </r>
  <r>
    <n v="9.2553059552897388E-2"/>
    <x v="1"/>
  </r>
  <r>
    <n v="6.9977224283304107E-3"/>
    <x v="1"/>
  </r>
  <r>
    <n v="4.2312840288281084E-3"/>
    <x v="1"/>
  </r>
  <r>
    <n v="3.0685018585256962E-2"/>
    <x v="1"/>
  </r>
  <r>
    <n v="1.6475076000147304E-2"/>
    <x v="1"/>
  </r>
  <r>
    <n v="5.9784903646247223E-3"/>
    <x v="1"/>
  </r>
  <r>
    <n v="9.3917381658508159E-3"/>
    <x v="2"/>
  </r>
  <r>
    <n v="2.4357054449007709E-2"/>
    <x v="2"/>
  </r>
  <r>
    <n v="7.350639815514981E-3"/>
    <x v="2"/>
  </r>
  <r>
    <n v="6.3633074480284879E-3"/>
    <x v="2"/>
  </r>
  <r>
    <n v="2.802444856123687E-3"/>
    <x v="3"/>
  </r>
  <r>
    <n v="5.9651813797145792E-3"/>
    <x v="3"/>
  </r>
  <r>
    <n v="5.3945146006699751E-3"/>
    <x v="3"/>
  </r>
  <r>
    <n v="3.7943849014685505E-3"/>
    <x v="3"/>
  </r>
  <r>
    <n v="7.2792493394155944E-3"/>
    <x v="3"/>
  </r>
  <r>
    <n v="-6.0210528153801235E-3"/>
    <x v="4"/>
  </r>
  <r>
    <n v="1.399191970841418E-2"/>
    <x v="4"/>
  </r>
  <r>
    <n v="1.2654255523583124E-2"/>
    <x v="4"/>
  </r>
  <r>
    <n v="2.3310210767160111E-3"/>
    <x v="4"/>
  </r>
  <r>
    <n v="2.6757546944961019E-2"/>
    <x v="5"/>
  </r>
  <r>
    <n v="1.7230488546708944E-3"/>
    <x v="5"/>
  </r>
  <r>
    <n v="4.0241814874333537E-2"/>
    <x v="5"/>
  </r>
  <r>
    <n v="4.3212346059779305E-2"/>
    <x v="6"/>
  </r>
  <r>
    <n v="-1.0141023126303161E-2"/>
    <x v="6"/>
  </r>
  <r>
    <n v="-1.0261889580597261E-3"/>
    <x v="7"/>
  </r>
  <r>
    <n v="1.4508874479721934E-2"/>
    <x v="8"/>
  </r>
  <r>
    <n v="5.2623203687092168E-3"/>
    <x v="8"/>
  </r>
  <r>
    <n v="2.4415979293503254E-2"/>
    <x v="9"/>
  </r>
  <r>
    <n v="2.022930746140772E-2"/>
    <x v="9"/>
  </r>
  <r>
    <n v="-1.3743423611047856E-3"/>
    <x v="1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">
  <r>
    <x v="0"/>
    <x v="0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1"/>
    <x v="0"/>
  </r>
  <r>
    <x v="1"/>
    <x v="0"/>
  </r>
  <r>
    <x v="1"/>
    <x v="1"/>
  </r>
  <r>
    <x v="1"/>
    <x v="0"/>
  </r>
  <r>
    <x v="1"/>
    <x v="1"/>
  </r>
  <r>
    <x v="1"/>
    <x v="1"/>
  </r>
  <r>
    <x v="1"/>
    <x v="0"/>
  </r>
  <r>
    <x v="1"/>
    <x v="1"/>
  </r>
  <r>
    <x v="1"/>
    <x v="1"/>
  </r>
  <r>
    <x v="2"/>
    <x v="1"/>
  </r>
  <r>
    <x v="2"/>
    <x v="1"/>
  </r>
  <r>
    <x v="2"/>
    <x v="1"/>
  </r>
  <r>
    <x v="2"/>
    <x v="1"/>
  </r>
  <r>
    <x v="3"/>
    <x v="1"/>
  </r>
  <r>
    <x v="3"/>
    <x v="1"/>
  </r>
  <r>
    <x v="3"/>
    <x v="1"/>
  </r>
  <r>
    <x v="3"/>
    <x v="1"/>
  </r>
  <r>
    <x v="3"/>
    <x v="1"/>
  </r>
  <r>
    <x v="4"/>
    <x v="2"/>
  </r>
  <r>
    <x v="4"/>
    <x v="1"/>
  </r>
  <r>
    <x v="4"/>
    <x v="1"/>
  </r>
  <r>
    <x v="4"/>
    <x v="1"/>
  </r>
  <r>
    <x v="5"/>
    <x v="0"/>
  </r>
  <r>
    <x v="5"/>
    <x v="1"/>
  </r>
  <r>
    <x v="5"/>
    <x v="0"/>
  </r>
  <r>
    <x v="6"/>
    <x v="0"/>
  </r>
  <r>
    <x v="6"/>
    <x v="2"/>
  </r>
  <r>
    <x v="7"/>
    <x v="2"/>
  </r>
  <r>
    <x v="8"/>
    <x v="1"/>
  </r>
  <r>
    <x v="8"/>
    <x v="1"/>
  </r>
  <r>
    <x v="9"/>
    <x v="1"/>
  </r>
  <r>
    <x v="9"/>
    <x v="1"/>
  </r>
  <r>
    <x v="10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879BA6-AC4C-4929-AAC2-44EDBCD86536}" name="PivotTable5" cacheId="1007" applyNumberFormats="0" applyBorderFormats="0" applyFontFormats="0" applyPatternFormats="0" applyAlignmentFormats="0" applyWidthHeightFormats="1" dataCaption="Values" grandTotalCaption="Total " updatedVersion="8" minRefreshableVersion="3" useAutoFormatting="1" itemPrintTitles="1" createdVersion="8" indent="0" compact="0" compactData="0" multipleFieldFilters="0" chartFormat="8">
  <location ref="G2:S7" firstHeaderRow="1" firstDataRow="2" firstDataCol="1"/>
  <pivotFields count="2">
    <pivotField axis="axisCol" compact="0" outline="0" showAll="0" sortType="descending">
      <items count="13">
        <item x="9"/>
        <item x="4"/>
        <item x="3"/>
        <item x="7"/>
        <item x="0"/>
        <item x="2"/>
        <item x="1"/>
        <item x="6"/>
        <item x="10"/>
        <item x="5"/>
        <item x="8"/>
        <item m="1" x="1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dataField="1" compact="0" outline="0" showAll="0" sortType="descending">
      <items count="4">
        <item x="0"/>
        <item x="2"/>
        <item x="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1"/>
  </rowFields>
  <rowItems count="4">
    <i>
      <x v="2"/>
    </i>
    <i>
      <x/>
    </i>
    <i>
      <x v="1"/>
    </i>
    <i t="grand">
      <x/>
    </i>
  </rowItems>
  <colFields count="1">
    <field x="0"/>
  </colFields>
  <colItems count="12">
    <i>
      <x v="4"/>
    </i>
    <i>
      <x v="6"/>
    </i>
    <i>
      <x v="2"/>
    </i>
    <i>
      <x v="1"/>
    </i>
    <i>
      <x v="5"/>
    </i>
    <i>
      <x v="9"/>
    </i>
    <i>
      <x v="10"/>
    </i>
    <i>
      <x/>
    </i>
    <i>
      <x v="7"/>
    </i>
    <i>
      <x v="8"/>
    </i>
    <i>
      <x v="3"/>
    </i>
    <i t="grand">
      <x/>
    </i>
  </colItems>
  <dataFields count="1">
    <dataField name="Count of Performance Category" fld="1" subtotal="count" baseField="0" baseItem="0"/>
  </dataFields>
  <formats count="11">
    <format dxfId="391">
      <pivotArea dataOnly="0" labelOnly="1" outline="0" fieldPosition="0">
        <references count="1">
          <reference field="0" count="10">
            <x v="0"/>
            <x v="1"/>
            <x v="2"/>
            <x v="3"/>
            <x v="5"/>
            <x v="6"/>
            <x v="7"/>
            <x v="8"/>
            <x v="9"/>
            <x v="10"/>
          </reference>
        </references>
      </pivotArea>
    </format>
    <format dxfId="392">
      <pivotArea dataOnly="0" labelOnly="1" grandCol="1" outline="0" fieldPosition="0"/>
    </format>
    <format dxfId="393">
      <pivotArea dataOnly="0" labelOnly="1" grandCol="1" outline="0" fieldPosition="0"/>
    </format>
    <format dxfId="394">
      <pivotArea type="origin" dataOnly="0" labelOnly="1" outline="0" fieldPosition="0"/>
    </format>
    <format dxfId="395">
      <pivotArea field="0" type="button" dataOnly="0" labelOnly="1" outline="0" axis="axisCol" fieldPosition="0"/>
    </format>
    <format dxfId="396">
      <pivotArea type="topRight" dataOnly="0" labelOnly="1" outline="0" fieldPosition="0"/>
    </format>
    <format dxfId="397">
      <pivotArea field="1" type="button" dataOnly="0" labelOnly="1" outline="0" axis="axisRow" fieldPosition="0"/>
    </format>
    <format dxfId="398">
      <pivotArea dataOnly="0" labelOnly="1" outline="0" fieldPosition="0">
        <references count="1">
          <reference field="0" count="0"/>
        </references>
      </pivotArea>
    </format>
    <format dxfId="399">
      <pivotArea dataOnly="0" labelOnly="1" grandCol="1" outline="0" fieldPosition="0"/>
    </format>
    <format dxfId="400">
      <pivotArea grandRow="1" outline="0" collapsedLevelsAreSubtotals="1" fieldPosition="0"/>
    </format>
    <format dxfId="401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C2B444-8130-40F4-A074-EC20435ABCE2}" name="PivotTable4" cacheId="1006" applyNumberFormats="0" applyBorderFormats="0" applyFontFormats="0" applyPatternFormats="0" applyAlignmentFormats="0" applyWidthHeightFormats="1" dataCaption="Values" grandTotalCaption="Total " showMissing="0" updatedVersion="8" minRefreshableVersion="3" useAutoFormatting="1" itemPrintTitles="1" createdVersion="8" indent="0" compact="0" compactData="0" multipleFieldFilters="0">
  <location ref="A2:B14" firstHeaderRow="1" firstDataRow="1" firstDataCol="1"/>
  <pivotFields count="2">
    <pivotField dataField="1" compact="0" outline="0" showAll="0"/>
    <pivotField axis="axisRow" compact="0" outline="0" showAll="0">
      <items count="13">
        <item x="9"/>
        <item x="4"/>
        <item x="3"/>
        <item x="7"/>
        <item x="0"/>
        <item x="2"/>
        <item x="1"/>
        <item x="6"/>
        <item x="10"/>
        <item x="5"/>
        <item x="8"/>
        <item m="1" x="11"/>
        <item t="default"/>
      </items>
    </pivotField>
  </pivotFields>
  <rowFields count="1">
    <field x="1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Average of Total Monthly Return " fld="0" subtotal="average" baseField="0" baseItem="0"/>
  </dataFields>
  <formats count="6">
    <format dxfId="385">
      <pivotArea outline="0" fieldPosition="0">
        <references count="1">
          <reference field="1" count="0" selected="0"/>
        </references>
      </pivotArea>
    </format>
    <format dxfId="386">
      <pivotArea grandRow="1" outline="0" collapsedLevelsAreSubtotals="1" fieldPosition="0"/>
    </format>
    <format dxfId="387">
      <pivotArea field="1" type="button" dataOnly="0" labelOnly="1" outline="0" axis="axisRow" fieldPosition="0"/>
    </format>
    <format dxfId="388">
      <pivotArea dataOnly="0" labelOnly="1" outline="0" axis="axisValues" fieldPosition="0"/>
    </format>
    <format dxfId="389">
      <pivotArea grandRow="1" outline="0" collapsedLevelsAreSubtotals="1" fieldPosition="0"/>
    </format>
    <format dxfId="39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0E2E5E-9506-4D6C-80C0-997CF1B3EA93}" name="Table1" displayName="Table1" ref="A1:B22" totalsRowShown="0" headerRowDxfId="384" headerRowBorderDxfId="382" tableBorderDxfId="383">
  <autoFilter ref="A1:B22" xr:uid="{110E2E5E-9506-4D6C-80C0-997CF1B3EA93}"/>
  <tableColumns count="2">
    <tableColumn id="1" xr3:uid="{3B10347C-DE28-456A-B801-580BE590DB76}" name="Sector " dataDxfId="381"/>
    <tableColumn id="2" xr3:uid="{4ABEA450-8ECA-4769-B441-F9AC87DB0FE3}" name="Sub-sector " dataDxfId="38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8830B39-4940-4516-939C-24A2930E7BBE}" name="Πίνακας2" displayName="Πίνακας2" ref="D1:G22" totalsRowShown="0" headerRowDxfId="379">
  <autoFilter ref="D1:G22" xr:uid="{D8830B39-4940-4516-939C-24A2930E7BBE}"/>
  <tableColumns count="4">
    <tableColumn id="1" xr3:uid="{721A2D0A-3501-416E-AEEC-78C4AAAA762C}" name="Sub-sector"/>
    <tableColumn id="2" xr3:uid="{E5C73347-E42E-48D2-A9D2-DBA591EEFCBB}" name="Sector"/>
    <tableColumn id="3" xr3:uid="{8BBBDF5E-279D-4C85-B0F8-CC197B3FAF89}" name="Percent" dataDxfId="378"/>
    <tableColumn id="4" xr3:uid="{884D33BE-2823-45B8-AA49-588742320654}" name="Stocks" dataDxfId="377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594711A-F27A-429B-8207-5DA92B835046}" name="Πίνακας4" displayName="Πίνακας4" ref="O1:R22" totalsRowShown="0" headerRowDxfId="376" dataDxfId="375">
  <autoFilter ref="O1:R22" xr:uid="{0594711A-F27A-429B-8207-5DA92B835046}"/>
  <tableColumns count="4">
    <tableColumn id="1" xr3:uid="{BAC1B405-1A76-4481-9D06-C285AC77E1AD}" name="Sub-sector" dataDxfId="374"/>
    <tableColumn id="2" xr3:uid="{4EF89952-B3E9-4A01-91B5-2E4137F7BB88}" name="Sector" dataDxfId="373"/>
    <tableColumn id="3" xr3:uid="{D980F9BC-AE26-4251-8C7C-B8D3B04BFEFF}" name="80th Percentile of Index Weights" dataDxfId="372"/>
    <tableColumn id="4" xr3:uid="{3CCFC9E4-B4F9-4299-96AE-04DD02DA1C29}" name="80th Percentile of ESG Scores " dataDxfId="371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57502F8-C521-4E88-ACD9-5AB149F96548}" name="Table5" displayName="Table5" ref="A1:BE50" totalsRowShown="0" headerRowDxfId="370" dataDxfId="369">
  <autoFilter ref="A1:BE50" xr:uid="{D57502F8-C521-4E88-ACD9-5AB149F96548}"/>
  <tableColumns count="57">
    <tableColumn id="1" xr3:uid="{39ACA8D7-68AD-4B7D-9FBE-89D432524DEE}" name="Company" dataDxfId="368"/>
    <tableColumn id="2" xr3:uid="{1E971DC0-C867-401D-8D46-AD5E6BC408CE}" name="ISIN" dataDxfId="367"/>
    <tableColumn id="3" xr3:uid="{636BA7C2-A4B2-412A-823F-B4CF6B9A1934}" name="31/12/2020" dataDxfId="366"/>
    <tableColumn id="4" xr3:uid="{1DE87CE8-EA19-4BF3-BDD4-A5DBF49708B7}" name="29/1/2021" dataDxfId="365"/>
    <tableColumn id="5" xr3:uid="{3D4E3994-01A2-4F9B-922F-C1238F48E281}" name="26/2/2021" dataDxfId="364"/>
    <tableColumn id="6" xr3:uid="{FD7C9A03-E9B5-476B-936C-03ABB8ADA351}" name="31/3/2021" dataDxfId="363"/>
    <tableColumn id="7" xr3:uid="{FA71DCED-CD4B-4225-8F80-F8BE3CC7E2E5}" name="30/4/2021" dataDxfId="362"/>
    <tableColumn id="8" xr3:uid="{F9DFDFFA-178C-4570-8B72-0FCF66C39E28}" name="31/5/2021" dataDxfId="361"/>
    <tableColumn id="9" xr3:uid="{47EBCFC1-8CE0-405D-8F39-E3D7EA4533A1}" name="30/6/2021" dataDxfId="360"/>
    <tableColumn id="10" xr3:uid="{E731154A-AD2F-4DF5-B396-50A0A24B3422}" name="30/7/2021" dataDxfId="359"/>
    <tableColumn id="11" xr3:uid="{13A0A3F7-FCCC-4834-B90E-D925740DC022}" name="31/8/2021" dataDxfId="358"/>
    <tableColumn id="12" xr3:uid="{31F57B7B-0429-4932-9B62-6B5585E63186}" name="30/9/2021" dataDxfId="357"/>
    <tableColumn id="13" xr3:uid="{0FFC7152-3C84-44AE-9812-32C6AC41DAF4}" name="29/10/2021" dataDxfId="356"/>
    <tableColumn id="14" xr3:uid="{432836EC-313D-4783-AE8F-4D013E3BB603}" name="30/11/2021" dataDxfId="355"/>
    <tableColumn id="15" xr3:uid="{C7AB90B8-91D2-42CF-B2A0-901BD0FBE83E}" name="31/12/2021" dataDxfId="354"/>
    <tableColumn id="16" xr3:uid="{65268230-66B0-4276-98F3-90C5F982A183}" name="31/1/2022" dataDxfId="353"/>
    <tableColumn id="17" xr3:uid="{2BC205B9-D085-489E-A93C-2220426D440B}" name="28/2/2022" dataDxfId="352"/>
    <tableColumn id="18" xr3:uid="{F519DD18-AD57-4904-A2DF-81B1B0423D38}" name="31/3/2022" dataDxfId="351"/>
    <tableColumn id="19" xr3:uid="{75E1E783-4D53-4A9F-94C2-332E029DC06D}" name="29/4/2022" dataDxfId="350"/>
    <tableColumn id="20" xr3:uid="{11A6230F-6529-4475-9464-E1DAA38A5551}" name="31/5/2022" dataDxfId="349"/>
    <tableColumn id="21" xr3:uid="{E6548316-D158-4202-B98D-8106F1F7F645}" name="30/6/2022" dataDxfId="348"/>
    <tableColumn id="22" xr3:uid="{C3F7B382-B4EE-4C14-91EA-044051FF1140}" name="29/7/2022" dataDxfId="347"/>
    <tableColumn id="23" xr3:uid="{194CBF34-A141-44C0-B3DA-59E21FCAB5F0}" name="31/8/2022" dataDxfId="346"/>
    <tableColumn id="24" xr3:uid="{AF3E172F-B6F7-4D11-B28C-FAE04985591A}" name="30/9/2022" dataDxfId="345"/>
    <tableColumn id="25" xr3:uid="{2EB88475-6818-44D3-B4C7-682DBD489A2B}" name="31/10/2022" dataDxfId="344"/>
    <tableColumn id="26" xr3:uid="{F9B89431-9693-4F29-9E33-E608D5C7F040}" name="30/11/2022" dataDxfId="343"/>
    <tableColumn id="27" xr3:uid="{A35757FF-07AE-42DF-A42D-DA85812F13DB}" name="30/12/2022" dataDxfId="342"/>
    <tableColumn id="28" xr3:uid="{BDFD9277-0734-422E-B479-96CBDD52613A}" name="31/1/2023" dataDxfId="341"/>
    <tableColumn id="29" xr3:uid="{D75313A8-D55C-4ECF-AC95-EEA4A71CE14B}" name="28/2/2023" dataDxfId="340"/>
    <tableColumn id="30" xr3:uid="{1D2966EF-FDC1-4AB1-8CFB-A45BE24AD749}" name="31/3/2023" dataDxfId="339"/>
    <tableColumn id="31" xr3:uid="{A89E9D19-55B0-4023-86D6-83A077F21D50}" name="28/4/2023" dataDxfId="338"/>
    <tableColumn id="32" xr3:uid="{D4A14F4A-CE49-4C4A-8B0F-F21C708C0CE1}" name="31/5/2023" dataDxfId="337"/>
    <tableColumn id="33" xr3:uid="{52DC3C2B-48EE-47C7-84E4-5278175D22EC}" name="30/6/2023" dataDxfId="336"/>
    <tableColumn id="34" xr3:uid="{940CE232-5A5B-4BE5-8A74-1B9F3D643751}" name="31/7/2023" dataDxfId="335"/>
    <tableColumn id="35" xr3:uid="{2C2CD23C-A3D6-40BE-830A-D05CE5F7BB52}" name="31/8/2023" dataDxfId="334"/>
    <tableColumn id="36" xr3:uid="{D874814B-874F-4FA0-B17B-D3C3BDCE5E48}" name="29/9/2023" dataDxfId="333"/>
    <tableColumn id="37" xr3:uid="{7FE703C7-E09B-48AF-8EF2-F3AF67764922}" name="31/10/2023" dataDxfId="332"/>
    <tableColumn id="38" xr3:uid="{DED0094F-7A9D-41AD-A232-DCABAA15D765}" name="30/11/2023" dataDxfId="331"/>
    <tableColumn id="39" xr3:uid="{B787CC72-CE43-4E65-B503-3303F767A06F}" name="29/12/2023" dataDxfId="330"/>
    <tableColumn id="40" xr3:uid="{22613F73-6736-42D9-84F8-D8985004C310}" name="31/1/2024" dataDxfId="329"/>
    <tableColumn id="41" xr3:uid="{F042CE83-13CF-4FFC-B19F-7263EF4DE588}" name="29/2/2024" dataDxfId="328"/>
    <tableColumn id="42" xr3:uid="{62D441F2-9C02-482C-AE29-8D552F47C7AA}" name="29/3/2024" dataDxfId="327"/>
    <tableColumn id="43" xr3:uid="{5353E65A-D91B-45FA-9CC3-9198A29C745F}" name="30/4/2024" dataDxfId="326"/>
    <tableColumn id="44" xr3:uid="{6F0718AD-5763-4438-A517-BB3A7D0EB57B}" name="31/5/2024" dataDxfId="325"/>
    <tableColumn id="45" xr3:uid="{007DEEE0-B0B8-4045-9B52-F683CA73DF56}" name="28/6/2024" dataDxfId="324"/>
    <tableColumn id="46" xr3:uid="{27892842-2F05-4CF6-8EDC-7487988BB3CA}" name="31/7/2024" dataDxfId="323"/>
    <tableColumn id="47" xr3:uid="{479B50F9-0954-46F0-892A-0F2871332C0F}" name="30/8/2024" dataDxfId="322"/>
    <tableColumn id="48" xr3:uid="{26B67665-853C-4EDD-B03D-CC0C25DC174F}" name="30/9/2024" dataDxfId="321"/>
    <tableColumn id="49" xr3:uid="{C78587DA-3929-4F5F-80F2-9544938EB899}" name="31/10/2024" dataDxfId="320"/>
    <tableColumn id="50" xr3:uid="{B8A796B6-89C0-41A5-B916-3CBDB0EF73C7}" name="29/11/2024" dataDxfId="319"/>
    <tableColumn id="51" xr3:uid="{748BDB67-4405-43A3-A71A-56EDC1E9F469}" name="31/12/2024" dataDxfId="318"/>
    <tableColumn id="52" xr3:uid="{9E7DD25A-37F1-455D-9866-74BDABA95E72}" name="31/1/2025" dataDxfId="317"/>
    <tableColumn id="53" xr3:uid="{118373FC-CFB0-408A-AE3A-D0D5CD9C2858}" name="28/2/2025" dataDxfId="316"/>
    <tableColumn id="54" xr3:uid="{2A456BB3-32DA-4360-ABCE-618B724F25DD}" name="31/3/2025" dataDxfId="315"/>
    <tableColumn id="55" xr3:uid="{64ABFA56-FC04-40F0-90E3-40986685DCB1}" name="30/4/2025" dataDxfId="314"/>
    <tableColumn id="56" xr3:uid="{7B0F4742-CD77-47FB-9AE3-826D8EF8875C}" name="30/5/2025" dataDxfId="313"/>
    <tableColumn id="57" xr3:uid="{E13105FD-3EB6-479B-A4EC-E449CA7F90B8}" name="30/6/2025" dataDxfId="312"/>
  </tableColumns>
  <tableStyleInfo name="TableStyleLight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F4B831A-E7A2-4523-ADBB-5972D641D2AA}" name="Table6" displayName="Table6" ref="A1:CN50" totalsRowShown="0" headerRowDxfId="311" dataDxfId="310">
  <autoFilter ref="A1:CN50" xr:uid="{DF4B831A-E7A2-4523-ADBB-5972D641D2AA}"/>
  <tableColumns count="92">
    <tableColumn id="1" xr3:uid="{1FAB05E2-F83B-4ADF-B14F-525BBD9F9019}" name="Company" dataDxfId="309"/>
    <tableColumn id="2" xr3:uid="{87D2DEDA-D33F-4850-8C01-37EEA31554ED}" name="Isin " dataDxfId="308"/>
    <tableColumn id="3" xr3:uid="{0DD5723C-7CB8-4A14-9A99-0D39A4F5DB7B}" name="Ιαν-21" dataDxfId="307"/>
    <tableColumn id="4" xr3:uid="{08AE8688-238C-46A5-AD1D-B4AC5472764D}" name="Φεβ-21" dataDxfId="306"/>
    <tableColumn id="5" xr3:uid="{112B5874-3C9D-435E-B477-77721154D586}" name="Μαρ-21" dataDxfId="305"/>
    <tableColumn id="6" xr3:uid="{2AFA691F-6D88-4A2F-8920-CDD90B3FEC61}" name="Απρ-21" dataDxfId="304"/>
    <tableColumn id="7" xr3:uid="{EF0BB9E4-8A09-4A96-A4F6-C30E6F1ECEB7}" name="Μαϊ-21" dataDxfId="303"/>
    <tableColumn id="8" xr3:uid="{31573250-7376-4185-A333-B70EDDE2FE5F}" name="Ιουν-21" dataDxfId="302"/>
    <tableColumn id="9" xr3:uid="{E2659C82-C034-40C4-9B7B-4360F6FF9962}" name="Ιουλ-21" dataDxfId="301"/>
    <tableColumn id="10" xr3:uid="{D16BCAD1-32F4-48FA-837C-3ECEC0ADA672}" name="Αυγ-21" dataDxfId="300"/>
    <tableColumn id="11" xr3:uid="{E13EE46D-97AA-4E56-A8E0-7B1B86598FC4}" name="Σεπ-21" dataDxfId="299"/>
    <tableColumn id="12" xr3:uid="{3D281FF2-D0C4-4119-8AF2-DD1051403DB7}" name="Οκτ-21" dataDxfId="298"/>
    <tableColumn id="13" xr3:uid="{EDCB44D9-1CDB-4606-99DA-9D012271D507}" name="Νοε-21" dataDxfId="297"/>
    <tableColumn id="14" xr3:uid="{FC2AB5E0-7E44-4341-8547-6A6581FF494A}" name="Δεκ-21" dataDxfId="296"/>
    <tableColumn id="15" xr3:uid="{18CE1CBF-8818-4919-A89C-FD470DDD7DE9}" name="Ιαν-22" dataDxfId="295"/>
    <tableColumn id="16" xr3:uid="{2D740C30-8D5F-4655-B767-80F7462506B4}" name="Φεβ-22" dataDxfId="294"/>
    <tableColumn id="17" xr3:uid="{9AEF3B41-EF7B-4940-8B6F-5CA8808EC895}" name="Μαρ-22" dataDxfId="293"/>
    <tableColumn id="18" xr3:uid="{37D8463B-04FB-4B0D-8C16-FA5C03C626DF}" name="Απρ-22" dataDxfId="292"/>
    <tableColumn id="19" xr3:uid="{4C8AB088-D070-46D1-BED5-78DA543219DE}" name="Μαϊ-22" dataDxfId="291"/>
    <tableColumn id="20" xr3:uid="{54964EF9-9D40-4168-98A6-D1CB1C293A75}" name="Ιουν-22" dataDxfId="290"/>
    <tableColumn id="21" xr3:uid="{B2A5876C-1989-4768-85F2-9BFF5D3A6AC5}" name="Ιουλ-22" dataDxfId="289"/>
    <tableColumn id="22" xr3:uid="{C599EF8E-0CF4-43E6-87EF-BCA858B1CF31}" name="Αυγ-22" dataDxfId="288"/>
    <tableColumn id="23" xr3:uid="{1CA86709-3863-4914-8DDC-BFE6478A8E8F}" name="Σεπ-22" dataDxfId="287"/>
    <tableColumn id="24" xr3:uid="{F8A7756F-E8C8-4A10-9B38-65827B2323E3}" name="Οκτ-22" dataDxfId="286"/>
    <tableColumn id="25" xr3:uid="{4070D468-ABE1-4AF6-B56C-E3613C28ED42}" name="Νοε-22" dataDxfId="285"/>
    <tableColumn id="26" xr3:uid="{C77315EA-0DD8-4CEB-BB0B-8CF069828187}" name="Δεκ-22" dataDxfId="284"/>
    <tableColumn id="27" xr3:uid="{69B5A707-42AF-4236-B4B4-F1A58BD532AF}" name="Ιαν-23" dataDxfId="283"/>
    <tableColumn id="28" xr3:uid="{18D9CF33-35C0-42BD-8FEF-51392E7B765E}" name="Φεβ-23" dataDxfId="282"/>
    <tableColumn id="29" xr3:uid="{1AF24BAD-3F7B-4BA0-8BB1-0C66DC7C40AD}" name="Μαρ-23" dataDxfId="281"/>
    <tableColumn id="30" xr3:uid="{B5BF5383-B11E-4DBE-97B4-22368B7072BD}" name="Απρ-23" dataDxfId="280"/>
    <tableColumn id="31" xr3:uid="{5A328976-A2FA-4318-99B7-78718446377F}" name="Μαϊ-23" dataDxfId="279"/>
    <tableColumn id="32" xr3:uid="{2720DA61-237B-4446-842E-74E1CDF5FE1C}" name="Ιουν-23" dataDxfId="278"/>
    <tableColumn id="33" xr3:uid="{48355022-9500-45EB-89F3-73737592EB15}" name="Ιουλ-23" dataDxfId="277"/>
    <tableColumn id="34" xr3:uid="{0658BA17-EB91-48C7-8AB5-D49FD5F072EC}" name="Αυγ-23" dataDxfId="276"/>
    <tableColumn id="35" xr3:uid="{7D54F130-D057-438D-A23D-40193908CC6C}" name="Σεπ-23" dataDxfId="275"/>
    <tableColumn id="36" xr3:uid="{8D65449F-41F5-46B3-AF1B-E9A6D3B3734B}" name="Οκτ-23" dataDxfId="274"/>
    <tableColumn id="37" xr3:uid="{26586DD2-16FE-474A-84BA-88DEB5BAD570}" name="Νοε-23" dataDxfId="273"/>
    <tableColumn id="38" xr3:uid="{18ED4195-3D77-4C99-89B3-26FF26108996}" name="Δεκ-23" dataDxfId="272"/>
    <tableColumn id="39" xr3:uid="{E76AF7F3-9A7F-4134-B0FF-0E2E14AEE7FE}" name="Ιαν-24" dataDxfId="271"/>
    <tableColumn id="40" xr3:uid="{DD3E246D-A3FC-4F58-B189-8A329EEEF46A}" name="Φεβ-24" dataDxfId="270"/>
    <tableColumn id="41" xr3:uid="{40CC3E79-0DA4-4298-9C15-E0143F9690CE}" name="Μαρ-24" dataDxfId="269"/>
    <tableColumn id="42" xr3:uid="{CB4E3BA6-5D6E-4CBF-9CEE-8497E664DE87}" name="Απρ-24" dataDxfId="268"/>
    <tableColumn id="43" xr3:uid="{2778696B-B398-479E-A58B-93E9D84831E7}" name="Μαϊ-24" dataDxfId="267"/>
    <tableColumn id="44" xr3:uid="{224DDAF1-337E-4311-89AA-B293E9A8B94E}" name="Ιουν-24" dataDxfId="266"/>
    <tableColumn id="45" xr3:uid="{452E5510-BAFB-48C2-8364-2A351E18C2EC}" name="Ιουλ-24" dataDxfId="265"/>
    <tableColumn id="46" xr3:uid="{534563B5-1FD0-494B-AB9D-A24114A3BBE6}" name="Αυγ-24" dataDxfId="264"/>
    <tableColumn id="47" xr3:uid="{460FFD68-426C-45D8-8E31-250BEAA7E3C6}" name="Σεπ-24" dataDxfId="263"/>
    <tableColumn id="48" xr3:uid="{2DF78F2B-F873-499F-A451-7D25724B3B31}" name="Οκτ-24" dataDxfId="262"/>
    <tableColumn id="49" xr3:uid="{CD4E48C5-08A3-451D-A63E-52069D55B7CE}" name="Νοε-24" dataDxfId="261"/>
    <tableColumn id="50" xr3:uid="{B291E1EC-3C07-49A3-A506-328BB4AC03E2}" name="Δεκ-24" dataDxfId="260"/>
    <tableColumn id="51" xr3:uid="{E85517BF-8936-4DCE-9728-0F91BCD70CF0}" name="Ιαν-25" dataDxfId="259"/>
    <tableColumn id="52" xr3:uid="{83FD1008-53EC-4EC4-BB0C-551F5D9B55F8}" name="Φεβ-25" dataDxfId="258"/>
    <tableColumn id="53" xr3:uid="{D6969355-B4A9-493A-9E6A-24BED1A27E8B}" name="Μαρ-25" dataDxfId="257"/>
    <tableColumn id="54" xr3:uid="{512A6B9C-70B8-4B77-80E8-9AD2414BFA99}" name="Απρ-25" dataDxfId="256"/>
    <tableColumn id="55" xr3:uid="{DB7DF2DD-7C13-4221-9A5F-6E8B47C2F428}" name="Μαϊ-25" dataDxfId="255"/>
    <tableColumn id="56" xr3:uid="{1FB6551A-85B6-4BA8-8B37-DDD1276566AA}" name="Ιουν-25" dataDxfId="254"/>
    <tableColumn id="57" xr3:uid="{5A84DDAD-FEEC-4083-BDCE-E11A5F02CA7C}" name="Column3" dataDxfId="253"/>
    <tableColumn id="58" xr3:uid="{3470F39C-FB81-4843-86F7-242ED0C145A5}" name="Column4" dataDxfId="252"/>
    <tableColumn id="59" xr3:uid="{F684A31C-A582-47CC-A0B6-8FCDAEA9F61B}" name="Column5" dataDxfId="251"/>
    <tableColumn id="60" xr3:uid="{F9534BDE-085B-45E3-9744-0B1BF1C60BC9}" name="Column6" dataDxfId="250"/>
    <tableColumn id="61" xr3:uid="{D0D11C62-F1AC-415F-B757-74708E21D6D6}" name="Column7" dataDxfId="249"/>
    <tableColumn id="62" xr3:uid="{B3A31F9D-5278-4883-89CA-D5ECE44057E2}" name="Column8" dataDxfId="248"/>
    <tableColumn id="63" xr3:uid="{6BBCD103-47F9-4758-9F81-0D4A95749BBB}" name="Column9" dataDxfId="247"/>
    <tableColumn id="64" xr3:uid="{0A46B8C3-13FB-475A-81C1-59158BAB30D7}" name="Column10" dataDxfId="246"/>
    <tableColumn id="65" xr3:uid="{747EAC47-3BDF-49DC-A04A-8DFAA0FD8BE7}" name="Column11" dataDxfId="245"/>
    <tableColumn id="66" xr3:uid="{F29DB5A3-2995-475C-A5B5-E9F3C5A06F65}" name="Column12" dataDxfId="244"/>
    <tableColumn id="67" xr3:uid="{17F5DC0F-4975-4B95-B11E-0ABEFD7BF96D}" name="Column13" dataDxfId="243"/>
    <tableColumn id="68" xr3:uid="{2FAABF7F-324B-40CF-B615-F1F5493DE6F3}" name="Column14" dataDxfId="242"/>
    <tableColumn id="69" xr3:uid="{FE9E1AD5-48C4-4184-B23C-947C000F5795}" name="Column15" dataDxfId="241"/>
    <tableColumn id="70" xr3:uid="{3951E8FE-C5D1-42DD-9A65-4A12CBF9498F}" name="Column16" dataDxfId="240"/>
    <tableColumn id="71" xr3:uid="{AF4BC263-F3AD-464A-8CC1-E395A4F1E8B2}" name="Column17" dataDxfId="239"/>
    <tableColumn id="72" xr3:uid="{2F69D345-EA6E-4887-AFC8-5D4D54EF4E5D}" name="Column18" dataDxfId="238"/>
    <tableColumn id="73" xr3:uid="{2F147F31-B8C9-47CC-95DB-5A5391B278AC}" name="Column19" dataDxfId="237"/>
    <tableColumn id="74" xr3:uid="{B9E06351-2D97-4AFC-A3A7-6F900BE538DB}" name="Column20" dataDxfId="236"/>
    <tableColumn id="75" xr3:uid="{D2192E0C-5255-42AD-95C4-8054512B7842}" name="Column21" dataDxfId="235"/>
    <tableColumn id="76" xr3:uid="{850C68FB-A11E-40F5-B646-247123A359E6}" name="Column22" dataDxfId="234"/>
    <tableColumn id="77" xr3:uid="{8E89FAF4-E269-4C08-9A26-C3835898EC13}" name="Column23" dataDxfId="233"/>
    <tableColumn id="78" xr3:uid="{04852984-4A27-42E3-B333-7DFD7BFCC259}" name="Column24" dataDxfId="232"/>
    <tableColumn id="79" xr3:uid="{AA08BFC9-147C-42CB-9C88-ECAA089D0FC3}" name="Column25" dataDxfId="231"/>
    <tableColumn id="80" xr3:uid="{8A268965-B944-4863-BD46-80B0A70695EB}" name="Column26" dataDxfId="230"/>
    <tableColumn id="81" xr3:uid="{CA8577E2-D083-4092-962D-EE28848BBCC5}" name="Column27" dataDxfId="229"/>
    <tableColumn id="82" xr3:uid="{B4EB74ED-7AF7-4624-A5C1-77C9617588D9}" name="Column28" dataDxfId="228"/>
    <tableColumn id="83" xr3:uid="{070C622C-20D6-4BC5-8591-6037A465CB2B}" name="Column29" dataDxfId="227"/>
    <tableColumn id="84" xr3:uid="{346AEBE9-D91E-4414-83E1-18340DF6F652}" name="Column30" dataDxfId="226"/>
    <tableColumn id="85" xr3:uid="{CE9C4613-7869-4BB8-A59F-1B997908CD7B}" name="Column31" dataDxfId="225"/>
    <tableColumn id="86" xr3:uid="{84F4FC01-A405-44BC-A11F-A7B8EA061642}" name="Column32" dataDxfId="224"/>
    <tableColumn id="87" xr3:uid="{1FE78BF8-E3C8-49DC-A6C9-17AB8706B404}" name="Column33" dataDxfId="223"/>
    <tableColumn id="88" xr3:uid="{F53F4D55-C69E-4F6B-A80F-072C1DB636D3}" name="Column34" dataDxfId="222"/>
    <tableColumn id="89" xr3:uid="{EFD6EC35-9E8C-4A95-828F-4F78277A66E9}" name="Column35" dataDxfId="221"/>
    <tableColumn id="90" xr3:uid="{159BF94C-82A2-469A-A03B-652ACD10CFD2}" name="Column36" dataDxfId="220"/>
    <tableColumn id="91" xr3:uid="{C876D0ED-C75B-48B5-AFAD-EAF9EEA724BA}" name="Column37" dataDxfId="219"/>
    <tableColumn id="92" xr3:uid="{3CBD1B79-503E-4A56-BA6C-88FE1C4CC978}" name="Column38" dataDxfId="218"/>
  </tableColumns>
  <tableStyleInfo name="TableStyleLight3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036A6CE-AFB7-4C74-A0AB-7CB58E050570}" name="Table684" displayName="Table684" ref="A1:CN50" totalsRowShown="0" headerRowDxfId="217" dataDxfId="216">
  <autoFilter ref="A1:CN50" xr:uid="{DF4B831A-E7A2-4523-ADBB-5972D641D2AA}"/>
  <tableColumns count="92">
    <tableColumn id="1" xr3:uid="{8DA1C259-AA76-413C-BBED-DE398B9BB364}" name="Company" dataDxfId="215"/>
    <tableColumn id="2" xr3:uid="{F61A8A9A-C6CF-45CE-9705-49F4DAE84412}" name="Isin " dataDxfId="214"/>
    <tableColumn id="3" xr3:uid="{F5A27BE4-BB56-4B1B-A9FE-5F4E827D719A}" name="Ιαν-21" dataDxfId="213"/>
    <tableColumn id="4" xr3:uid="{F3EDD0EC-611F-446D-9243-795F459B8630}" name="Φεβ-21" dataDxfId="212">
      <calculatedColumnFormula>(Table684[[#This Row],[Ιαν-21]]*(1+Table6[[#This Row],[Ιαν-21]]))</calculatedColumnFormula>
    </tableColumn>
    <tableColumn id="5" xr3:uid="{293E0033-6C51-4A37-80CF-0BBC5032C708}" name="Μαρ-21" dataDxfId="211">
      <calculatedColumnFormula array="1">(Table684[[#This Row],[Φεβ-21]]*(1+Table6[[#This Row],[Φεβ-21]]))/SUMPRODUCT(D$2:D$49,(1+'Monthly Returns'!D$2:D$49))</calculatedColumnFormula>
    </tableColumn>
    <tableColumn id="6" xr3:uid="{0FC24E3B-0207-4A99-8E45-8D0088AFE391}" name="Απρ-21" dataDxfId="210"/>
    <tableColumn id="7" xr3:uid="{3EF79A9C-54F4-4F0F-9F05-64EAF164CCC0}" name="Μαϊ-21" dataDxfId="209"/>
    <tableColumn id="8" xr3:uid="{6F3EA7A5-4C08-4175-BE79-75BC163AB50B}" name="Ιουν-21" dataDxfId="208"/>
    <tableColumn id="9" xr3:uid="{6C554B20-99C1-47A6-A471-76C26B07260D}" name="Ιουλ-21" dataDxfId="207">
      <calculatedColumnFormula array="1">(Table684[[#This Row],[Ιουν-21]]*(1+Table6[[#This Row],[Ιαν-21]]))/SUMPRODUCT(H$2:H$49,(1+'Monthly Returns'!H$2:H$49))</calculatedColumnFormula>
    </tableColumn>
    <tableColumn id="10" xr3:uid="{505568F6-4991-44BF-93F5-3A0546F1F60E}" name="Αυγ-21" dataDxfId="206">
      <calculatedColumnFormula array="1">(Table684[[#This Row],[Ιουλ-21]]*(1+Table6[[#This Row],[Ιουλ-21]]))/SUMPRODUCT(I$2:I$49,(1+'Monthly Returns'!I$2:I$49))</calculatedColumnFormula>
    </tableColumn>
    <tableColumn id="11" xr3:uid="{4D4FBD89-A379-4924-822A-8BF9155CE270}" name="Σεπ-21" dataDxfId="205"/>
    <tableColumn id="12" xr3:uid="{1A6CCA7D-892D-4325-BBAF-76E745F57264}" name="Οκτ-21" dataDxfId="204"/>
    <tableColumn id="13" xr3:uid="{94DC2819-D356-4987-BEA4-993239438289}" name="Νοε-21" dataDxfId="203"/>
    <tableColumn id="14" xr3:uid="{839C14AA-E4FF-4B22-B549-4A47B82B216D}" name="Δεκ-21" dataDxfId="202"/>
    <tableColumn id="15" xr3:uid="{A67BEAB7-8855-4EFE-8534-D6D88AB2E183}" name="Ιαν-22" dataDxfId="201"/>
    <tableColumn id="16" xr3:uid="{EBE4433F-94EF-485A-813C-95157413DFF5}" name="Φεβ-22" dataDxfId="200"/>
    <tableColumn id="17" xr3:uid="{7ABA1871-3315-4F01-9B6E-031953643ECB}" name="Μαρ-22" dataDxfId="199"/>
    <tableColumn id="18" xr3:uid="{F15FE0B1-2F49-4A26-95BA-287C0DB2FEFF}" name="Απρ-22" dataDxfId="198"/>
    <tableColumn id="19" xr3:uid="{7B083F85-6304-4453-9F67-2EEC14D2B7C5}" name="Μαϊ-22" dataDxfId="197"/>
    <tableColumn id="20" xr3:uid="{E79AF638-56A6-40BE-AEB9-BCC61145CC8D}" name="Ιουν-22" dataDxfId="196"/>
    <tableColumn id="21" xr3:uid="{63854ED6-82D4-49A5-8C6B-B3E8B5B52C0D}" name="Ιουλ-22" dataDxfId="195"/>
    <tableColumn id="22" xr3:uid="{A28593EC-9D62-4F29-8A59-0E67AFF0D539}" name="Αυγ-22" dataDxfId="194"/>
    <tableColumn id="23" xr3:uid="{C5A0898F-D65F-41D4-BC17-A1B034B16B77}" name="Σεπ-22" dataDxfId="193"/>
    <tableColumn id="24" xr3:uid="{2D7C2C32-E5A5-411B-BD73-470A029F9D70}" name="Οκτ-22" dataDxfId="192">
      <calculatedColumnFormula array="1">(W2*(1+Table6[[#This Row],[Σεπ-22]]))/SUMPRODUCT(W$2:W$49,(1+'Monthly Returns'!W$2:W$49))</calculatedColumnFormula>
    </tableColumn>
    <tableColumn id="25" xr3:uid="{73419D89-38D6-4627-9BAE-E86952A4B7DC}" name="Νοε-22" dataDxfId="191"/>
    <tableColumn id="26" xr3:uid="{E2E75345-39F0-49EA-AD57-65CE5EB42003}" name="Δεκ-22" dataDxfId="190"/>
    <tableColumn id="27" xr3:uid="{66C1814D-04B9-490C-A279-C6C03E89E44D}" name="Ιαν-23" dataDxfId="189"/>
    <tableColumn id="28" xr3:uid="{BC83059C-0D9A-48C5-A36B-3E6E62D66BD4}" name="Φεβ-23" dataDxfId="188"/>
    <tableColumn id="29" xr3:uid="{12A115A8-316E-46EB-96E0-6CDA75D229C7}" name="Μαρ-23" dataDxfId="187"/>
    <tableColumn id="30" xr3:uid="{62811564-54F9-42FC-8446-AE5F8E8A9019}" name="Απρ-23" dataDxfId="186"/>
    <tableColumn id="31" xr3:uid="{DCCC84C0-74B1-4588-A723-DBCD83313197}" name="Μαϊ-23" dataDxfId="185"/>
    <tableColumn id="32" xr3:uid="{A111EC35-2DE9-4157-B55B-EA5F317781AA}" name="Ιουν-23" dataDxfId="184"/>
    <tableColumn id="33" xr3:uid="{C19D94EC-2E2F-4EB6-97E8-5B7C91F2937A}" name="Ιουλ-23" dataDxfId="183"/>
    <tableColumn id="34" xr3:uid="{445DBE96-9D44-4771-979D-66ED0E19A0A1}" name="Αυγ-23" dataDxfId="182"/>
    <tableColumn id="35" xr3:uid="{DFA7C973-D4EA-4840-A564-A76ADD19AD32}" name="Σεπ-23" dataDxfId="181"/>
    <tableColumn id="36" xr3:uid="{1F5614A1-2353-4DBD-92C9-42B1DEED22FA}" name="Οκτ-23" dataDxfId="180"/>
    <tableColumn id="37" xr3:uid="{48F81E35-BD90-4A33-9757-B38E928379EA}" name="Νοε-23" dataDxfId="179"/>
    <tableColumn id="38" xr3:uid="{2F081CC8-1EB1-4E0D-947E-BC4329216471}" name="Δεκ-23" dataDxfId="178"/>
    <tableColumn id="39" xr3:uid="{A71652A2-9F95-4763-B5EB-00656D5CCA85}" name="Ιαν-24" dataDxfId="177"/>
    <tableColumn id="40" xr3:uid="{87160492-DE9F-4CD0-9FF1-91D4C192D723}" name="Φεβ-24" dataDxfId="176"/>
    <tableColumn id="41" xr3:uid="{41D21211-6157-4CA2-8B5A-A1BF5955850D}" name="Μαρ-24" dataDxfId="175"/>
    <tableColumn id="42" xr3:uid="{398E1E77-E416-486E-878D-9C28E63DF98B}" name="Απρ-24" dataDxfId="174"/>
    <tableColumn id="43" xr3:uid="{A8C1F9FE-A748-43A5-B1B2-4D1E02F89B1E}" name="Μαϊ-24" dataDxfId="173"/>
    <tableColumn id="44" xr3:uid="{B3BCBF3B-AF25-484D-96B5-27D62B1E1EF0}" name="Ιουν-24" dataDxfId="172"/>
    <tableColumn id="45" xr3:uid="{DCB659E2-2237-4574-8202-825D06C3CD88}" name="Ιουλ-24" dataDxfId="171"/>
    <tableColumn id="46" xr3:uid="{894EBF3E-F81E-47B0-BA57-7A73A5F997B9}" name="Αυγ-24" dataDxfId="170"/>
    <tableColumn id="47" xr3:uid="{77D16246-C110-40E6-B42E-FD675069A1D8}" name="Σεπ-24" dataDxfId="169"/>
    <tableColumn id="48" xr3:uid="{0EBAF676-B26F-4798-BFC4-147FA4CDF422}" name="Οκτ-24" dataDxfId="168"/>
    <tableColumn id="49" xr3:uid="{FD4140BE-27F4-4B53-973C-91D4A62C7E74}" name="Νοε-24" dataDxfId="167"/>
    <tableColumn id="50" xr3:uid="{87776086-6C2E-4301-9DA0-4E4617C33283}" name="Δεκ-24" dataDxfId="166"/>
    <tableColumn id="51" xr3:uid="{712E61AA-C639-4A08-808B-E9F8867F9622}" name="Ιαν-25" dataDxfId="165"/>
    <tableColumn id="52" xr3:uid="{305BA234-AE2F-4738-ABEA-D00125242DAA}" name="Φεβ-25" dataDxfId="164"/>
    <tableColumn id="53" xr3:uid="{FF0A04C6-C5E4-4FD8-AAED-CB10443AA38D}" name="Μαρ-25" dataDxfId="163"/>
    <tableColumn id="54" xr3:uid="{E3702422-639C-4BF0-91BB-FF38F97F5028}" name="Απρ-25" dataDxfId="162"/>
    <tableColumn id="55" xr3:uid="{95B656B6-1536-47CD-BDEE-7AD0F5DBA1AF}" name="Μαϊ-25" dataDxfId="161"/>
    <tableColumn id="56" xr3:uid="{C54C0861-0A43-4FFD-9E4E-3FC42AD4A088}" name="Ιουν-25" dataDxfId="160"/>
    <tableColumn id="57" xr3:uid="{6DC3E059-34EE-46EE-8EDC-50F814CCDE2C}" name="Column3" dataDxfId="159"/>
    <tableColumn id="58" xr3:uid="{4B9F1565-0380-4FF3-8427-0A39E79B0070}" name="Column4" dataDxfId="158"/>
    <tableColumn id="59" xr3:uid="{47CB722E-79B8-4D87-ACCF-A7D98C64E70C}" name="Column5" dataDxfId="157"/>
    <tableColumn id="60" xr3:uid="{B8FDFEB5-1312-422F-96F4-A560498B770C}" name="Column6" dataDxfId="156"/>
    <tableColumn id="61" xr3:uid="{F1A6323C-08FA-4C12-BEB7-A06A403FDDEE}" name="Column7" dataDxfId="155"/>
    <tableColumn id="62" xr3:uid="{DC656F86-4B6E-4080-B2CC-F4FC6F35D4B2}" name="Column8" dataDxfId="154"/>
    <tableColumn id="63" xr3:uid="{B8F72A42-78E9-447D-8C8C-E81823A31B04}" name="Column9" dataDxfId="153"/>
    <tableColumn id="64" xr3:uid="{37D6B31A-89CC-4A90-9D69-00A76E5C4798}" name="Column10" dataDxfId="152"/>
    <tableColumn id="65" xr3:uid="{7BB76FE5-397D-414B-8D29-323C7A25FAD3}" name="Column11" dataDxfId="151"/>
    <tableColumn id="66" xr3:uid="{AAA13A4A-66EB-49ED-8A1F-069EAEA01345}" name="Column12" dataDxfId="150"/>
    <tableColumn id="67" xr3:uid="{7F4986A3-A5BF-47AC-A2CF-83D62F132BCA}" name="Column13" dataDxfId="149"/>
    <tableColumn id="68" xr3:uid="{EBFCB01F-FC95-43B8-9069-32F81E753F8E}" name="Column14" dataDxfId="148"/>
    <tableColumn id="69" xr3:uid="{9BAE5140-55E9-4E89-915F-CC32C342D5C3}" name="Column15" dataDxfId="147"/>
    <tableColumn id="70" xr3:uid="{761512E9-4E7C-4695-9C0E-817226593363}" name="Column16" dataDxfId="146"/>
    <tableColumn id="71" xr3:uid="{DE1E7F29-4413-4F26-9C5A-4731B7739E93}" name="Column17" dataDxfId="145"/>
    <tableColumn id="72" xr3:uid="{EFF7DF39-02EC-41E3-9ED3-DEE9ECB428A2}" name="Column18" dataDxfId="144"/>
    <tableColumn id="73" xr3:uid="{4981ACD7-E765-461F-98BA-C9D9B087729B}" name="Column19" dataDxfId="143"/>
    <tableColumn id="74" xr3:uid="{4FC59249-8FB6-447B-93BD-10DCACAEDF12}" name="Column20" dataDxfId="142"/>
    <tableColumn id="75" xr3:uid="{AEC7D593-B823-4D24-A780-7B07CC169E4B}" name="Column21" dataDxfId="141"/>
    <tableColumn id="76" xr3:uid="{72175F3E-129D-4C29-8FD7-BA53E7CD9E94}" name="Column22" dataDxfId="140"/>
    <tableColumn id="77" xr3:uid="{0B5FE555-98BD-40B4-A51E-73B1131087A6}" name="Column23" dataDxfId="139"/>
    <tableColumn id="78" xr3:uid="{4C2B37E3-AB8B-46F1-9E53-064FAD839135}" name="Column24" dataDxfId="138"/>
    <tableColumn id="79" xr3:uid="{8D4FF998-DA37-4571-A7FA-2D23C7C3F1D1}" name="Column25" dataDxfId="137"/>
    <tableColumn id="80" xr3:uid="{8A9BE8BB-A59F-458B-A405-6F087CB352D8}" name="Column26" dataDxfId="136"/>
    <tableColumn id="81" xr3:uid="{461E69F1-69B3-4212-9AC6-80A4830D004B}" name="Column27" dataDxfId="135"/>
    <tableColumn id="82" xr3:uid="{C25EE24A-9171-4BAB-93B3-454B201D5E12}" name="Column28" dataDxfId="134"/>
    <tableColumn id="83" xr3:uid="{D78EBB3C-D38C-4CDA-9C7D-4B4035E25AA4}" name="Column29" dataDxfId="133"/>
    <tableColumn id="84" xr3:uid="{4DAACB7D-3671-4DE0-BC0E-09708D2C706A}" name="Column30" dataDxfId="132"/>
    <tableColumn id="85" xr3:uid="{DB181B90-FAC2-446A-B49D-FE1C3875AB08}" name="Column31" dataDxfId="131"/>
    <tableColumn id="86" xr3:uid="{DBFF04B9-6EC7-4E7F-93C8-38D8E580EA51}" name="Column32" dataDxfId="130"/>
    <tableColumn id="87" xr3:uid="{A5BC8E6B-7E29-4BC0-AC8D-2D8C28534823}" name="Column33" dataDxfId="129"/>
    <tableColumn id="88" xr3:uid="{49F89C40-3F16-4760-B5E5-3AB990B16294}" name="Column34" dataDxfId="128"/>
    <tableColumn id="89" xr3:uid="{08A75E21-4B3E-4ADC-95F9-749B1AD6981F}" name="Column35" dataDxfId="127"/>
    <tableColumn id="90" xr3:uid="{DD566219-2AD6-4557-A8BF-591AABA48134}" name="Column36" dataDxfId="126"/>
    <tableColumn id="91" xr3:uid="{F780036D-55E6-40C5-A4FC-D6FB873EF744}" name="Column37" dataDxfId="125"/>
    <tableColumn id="92" xr3:uid="{F433CECA-6AB7-49AE-A383-877727403D85}" name="Column38" dataDxfId="124"/>
  </tableColumns>
  <tableStyleInfo name="TableStyleLight3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ADB6838-1DFD-4E60-BB37-FD83B73A676C}" name="Table68" displayName="Table68" ref="A1:BI51" totalsRowShown="0" headerRowDxfId="123" dataDxfId="122">
  <autoFilter ref="A1:BI51" xr:uid="{DF4B831A-E7A2-4523-ADBB-5972D641D2AA}"/>
  <tableColumns count="61">
    <tableColumn id="1" xr3:uid="{F69417A1-0291-484E-8972-D9CA5BA4B9B2}" name="Company" dataDxfId="121"/>
    <tableColumn id="2" xr3:uid="{FFAF139E-AD19-4EF1-A1CE-28D6FB1D4A9F}" name="Isin " dataDxfId="120"/>
    <tableColumn id="3" xr3:uid="{553E9703-FAA6-4A4A-8F59-E95B9B9AC380}" name="Ιαν-21" dataDxfId="119">
      <calculatedColumnFormula>Table6[[#This Row],[Ιαν-21]]*'Portfolio Board'!AL2</calculatedColumnFormula>
    </tableColumn>
    <tableColumn id="4" xr3:uid="{6BC4F9E6-BE36-4A56-8203-239DFFF1F9A7}" name="Φεβ-21" dataDxfId="118">
      <calculatedColumnFormula>Table684[[#This Row],[Φεβ-21]]*Table6[[#This Row],[Φεβ-21]]</calculatedColumnFormula>
    </tableColumn>
    <tableColumn id="5" xr3:uid="{4EA5A6D7-4651-4EFD-A515-99556B5AFBBC}" name="Μαρ-21" dataDxfId="117"/>
    <tableColumn id="6" xr3:uid="{02F71B69-BB0C-4504-A163-4DD9C25FB424}" name="Απρ-21" dataDxfId="116"/>
    <tableColumn id="7" xr3:uid="{136135E0-B0EA-4AE1-AEE9-BED7E7C68DEC}" name="Μαϊ-21" dataDxfId="115"/>
    <tableColumn id="8" xr3:uid="{A27D2904-8950-4C35-962D-3EA572B75AA5}" name="Ιουν-21" dataDxfId="114"/>
    <tableColumn id="9" xr3:uid="{E5104561-9411-4D3F-A50F-FD59607FB14D}" name="Ιουλ-21" dataDxfId="113"/>
    <tableColumn id="10" xr3:uid="{EAC613C0-4B92-4504-8793-841E7456239E}" name="Αυγ-21" dataDxfId="112"/>
    <tableColumn id="11" xr3:uid="{90197F8B-C6E9-4DB2-9C62-843C879F802F}" name="Σεπ-21" dataDxfId="111"/>
    <tableColumn id="12" xr3:uid="{EDAA7A42-A905-4FB3-86A2-B320DED70436}" name="Οκτ-21" dataDxfId="110"/>
    <tableColumn id="13" xr3:uid="{3EB08073-30D6-43E8-9A5A-BD4595820FBB}" name="Νοε-21" dataDxfId="109"/>
    <tableColumn id="14" xr3:uid="{A9B63F02-AB0C-4445-AD37-23EA853A3D89}" name="Δεκ-21" dataDxfId="108"/>
    <tableColumn id="15" xr3:uid="{C01B4491-86F9-4216-A104-8460338D8C2C}" name="Ιαν-22" dataDxfId="107"/>
    <tableColumn id="16" xr3:uid="{A1819B19-4A33-4D94-AC71-6B5AF5137DC0}" name="Φεβ-22" dataDxfId="106"/>
    <tableColumn id="17" xr3:uid="{01F1992E-0D2D-4B51-80C1-FB5EE258F205}" name="Μαρ-22" dataDxfId="105"/>
    <tableColumn id="18" xr3:uid="{E1F012A5-A4DC-406C-9E97-32383389F0D8}" name="Απρ-22" dataDxfId="104"/>
    <tableColumn id="19" xr3:uid="{ED7625E5-FDFB-4C21-B8A5-E6DC0E7F1657}" name="Μαϊ-22" dataDxfId="103"/>
    <tableColumn id="20" xr3:uid="{68A21563-7E1B-4714-BA2C-8DD12DAEF876}" name="Ιουν-22" dataDxfId="102"/>
    <tableColumn id="21" xr3:uid="{B34D5208-0068-4E00-BA97-8D17137BFD11}" name="Ιουλ-22" dataDxfId="101"/>
    <tableColumn id="22" xr3:uid="{E029131C-5A73-41A9-9976-243EA4B22187}" name="Αυγ-22" dataDxfId="100"/>
    <tableColumn id="23" xr3:uid="{F2E37F84-5260-40D5-A14A-3F9CE8DB9D35}" name="Σεπ-22" dataDxfId="99"/>
    <tableColumn id="24" xr3:uid="{E015E6B9-CB53-4038-B7AE-5254A980015E}" name="Οκτ-22" dataDxfId="98"/>
    <tableColumn id="25" xr3:uid="{15532DEE-EF08-43BD-BA31-7BE6693EE893}" name="Νοε-22" dataDxfId="97"/>
    <tableColumn id="26" xr3:uid="{3B1EC82C-E14B-489A-88D6-7F80121F809A}" name="Δεκ-22" dataDxfId="96"/>
    <tableColumn id="27" xr3:uid="{CAA80EA0-A177-4BE8-A93B-F84E314922A6}" name="Ιαν-23" dataDxfId="95"/>
    <tableColumn id="28" xr3:uid="{87D431E5-03B9-4D9C-A983-5CFB8BBB058A}" name="Φεβ-23" dataDxfId="94"/>
    <tableColumn id="29" xr3:uid="{918F7D26-BC60-47E9-AC8A-F9ED9CAC4157}" name="Μαρ-23" dataDxfId="93"/>
    <tableColumn id="30" xr3:uid="{00012014-A9F8-46F5-BCD0-353C955AEE5C}" name="Απρ-23" dataDxfId="92"/>
    <tableColumn id="31" xr3:uid="{CCFA322D-B2C1-49D4-B603-D9351EA97660}" name="Μαϊ-23" dataDxfId="91"/>
    <tableColumn id="32" xr3:uid="{AFDF231B-6CD9-404B-941C-FE7FF4B0B635}" name="Ιουν-23" dataDxfId="90"/>
    <tableColumn id="33" xr3:uid="{14AC60A7-493F-4C3C-B180-B557718B5E2B}" name="Ιουλ-23" dataDxfId="89"/>
    <tableColumn id="34" xr3:uid="{EE409506-A997-49D0-B5AF-FD9AC8AED799}" name="Αυγ-23" dataDxfId="88"/>
    <tableColumn id="35" xr3:uid="{F873AA69-8092-468C-98E7-74E8B14DB14B}" name="Σεπ-23" dataDxfId="87"/>
    <tableColumn id="36" xr3:uid="{F1BC027F-1568-42FC-9E80-E85856D4A1F2}" name="Οκτ-23" dataDxfId="86"/>
    <tableColumn id="37" xr3:uid="{F100FBF8-6231-46AD-A9AC-1092E5E023C3}" name="Νοε-23" dataDxfId="85"/>
    <tableColumn id="38" xr3:uid="{CB869929-6373-47DA-BB5C-DFF4D9F6A9F2}" name="Δεκ-23" dataDxfId="84"/>
    <tableColumn id="39" xr3:uid="{39138E62-0CDB-4795-8D5A-B385CAC0FA25}" name="Ιαν-24" dataDxfId="83"/>
    <tableColumn id="40" xr3:uid="{118F991F-0CFB-41AB-BD3A-101FBC8E3FCA}" name="Φεβ-24" dataDxfId="82"/>
    <tableColumn id="41" xr3:uid="{CA538A2C-3E6D-45E9-93AF-6A07CA44103D}" name="Μαρ-24" dataDxfId="81"/>
    <tableColumn id="42" xr3:uid="{B7CD82EE-4D83-4377-8D09-0C113CE6CC28}" name="Απρ-24" dataDxfId="80"/>
    <tableColumn id="43" xr3:uid="{664AE4B5-F0BD-4C76-853C-6148F2D81493}" name="Μαϊ-24" dataDxfId="79"/>
    <tableColumn id="44" xr3:uid="{A9AF593D-C289-49E0-B928-9401A04DC66E}" name="Ιουν-24" dataDxfId="78"/>
    <tableColumn id="45" xr3:uid="{876288B7-D412-4947-AB98-F213C3D8F0EE}" name="Ιουλ-24" dataDxfId="77"/>
    <tableColumn id="46" xr3:uid="{4117FA43-1A98-49D3-9630-2E780514A501}" name="Αυγ-24" dataDxfId="76"/>
    <tableColumn id="47" xr3:uid="{EB732623-8FA4-4484-B812-B92B9ACCCA39}" name="Σεπ-24" dataDxfId="75"/>
    <tableColumn id="48" xr3:uid="{F916478B-5E5A-423E-8121-9CCE55F17772}" name="Οκτ-24" dataDxfId="74"/>
    <tableColumn id="49" xr3:uid="{5212C7D7-8E55-456C-B993-FC5C70EA92F6}" name="Νοε-24" dataDxfId="73"/>
    <tableColumn id="50" xr3:uid="{1C75B321-A744-41A7-8F92-4C0EFB9B54F9}" name="Δεκ-24" dataDxfId="72"/>
    <tableColumn id="51" xr3:uid="{24DA4F14-2709-4C96-B194-B249E909E531}" name="Ιαν-25" dataDxfId="71"/>
    <tableColumn id="52" xr3:uid="{4702EF1E-6989-4429-9B5A-17338C959CF2}" name="Φεβ-25" dataDxfId="70"/>
    <tableColumn id="53" xr3:uid="{37FDF471-CC6D-4A2C-AA73-CB48578DFC5A}" name="Μαρ-25" dataDxfId="69"/>
    <tableColumn id="54" xr3:uid="{4A931F55-2C0A-4372-A47F-169A4AEF646B}" name="Απρ-25" dataDxfId="68"/>
    <tableColumn id="55" xr3:uid="{1CC858FB-7569-4423-BB60-5854498C5774}" name="Μαϊ-25" dataDxfId="67"/>
    <tableColumn id="56" xr3:uid="{E4E1E66C-CC17-47BB-9E33-19C3E04A0D92}" name="Ιουν-25" dataDxfId="66"/>
    <tableColumn id="57" xr3:uid="{7C4511DD-D2C0-468C-B5BA-695417A297BA}" name="Στήλη1" dataDxfId="65"/>
    <tableColumn id="58" xr3:uid="{67C4630D-95AA-4F1D-9587-5B528174DBA2}" name="Cumulative Return " dataDxfId="64">
      <calculatedColumnFormula array="1">PRODUCT(1+Table68[[#This Row],[Ιαν-21]:[Ιουν-25]])-1</calculatedColumnFormula>
    </tableColumn>
    <tableColumn id="59" xr3:uid="{BEEB7EE1-6487-4EF1-9629-943B65A8F5E4}" name="Sector" dataDxfId="63"/>
    <tableColumn id="60" xr3:uid="{AB4F39FA-AF97-45EC-8F43-153EF911741D}" name="Performance Category" dataDxfId="62">
      <calculatedColumnFormula>IF(Table68[[#This Row],[Cumulative Return ]]&lt;0,"Negative", IF(Table68[[#This Row],[Cumulative Return ]]&lt;0.025,"Positive","High Positive"))</calculatedColumnFormula>
    </tableColumn>
    <tableColumn id="61" xr3:uid="{0994EAFB-3BCC-4CA5-A05B-64C222890FEE}" name="Beta " dataDxfId="61">
      <calculatedColumnFormula>SLOPE(C2:BD2,$C$54:$BD$54)</calculatedColumnFormula>
    </tableColumn>
  </tableColumns>
  <tableStyleInfo name="TableStyleLight3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0DA7ADF-6E77-4514-863E-B86EC6EB85AD}" name="Table9" displayName="Table9" ref="A53:BG55" totalsRowShown="0" headerRowDxfId="60" dataDxfId="59">
  <autoFilter ref="A53:BG55" xr:uid="{10DA7ADF-6E77-4514-863E-B86EC6EB85AD}"/>
  <tableColumns count="59">
    <tableColumn id="1" xr3:uid="{DEDB21FB-A43A-47CC-9230-274F0CED3AFF}" name="Column1" dataDxfId="58"/>
    <tableColumn id="2" xr3:uid="{49634D1E-3EBC-485D-9214-5F493FD5B184}" name="Column2" dataDxfId="57"/>
    <tableColumn id="3" xr3:uid="{B15E3816-8BA7-4A2D-AA9A-54C66DB0C42E}" name="Column3" dataDxfId="56">
      <calculatedColumnFormula>C55/100</calculatedColumnFormula>
    </tableColumn>
    <tableColumn id="4" xr3:uid="{F2497ACB-9090-486B-A36C-15AAD6D908C0}" name="Column4" dataDxfId="55">
      <calculatedColumnFormula>D52/100</calculatedColumnFormula>
    </tableColumn>
    <tableColumn id="5" xr3:uid="{DC7E29F0-CD40-46CE-9CE5-9698E318183C}" name="Column5" dataDxfId="54">
      <calculatedColumnFormula>E52/100</calculatedColumnFormula>
    </tableColumn>
    <tableColumn id="6" xr3:uid="{07286829-515A-4B1D-9B04-651290CC572C}" name="Column6" dataDxfId="53">
      <calculatedColumnFormula>F52/100</calculatedColumnFormula>
    </tableColumn>
    <tableColumn id="7" xr3:uid="{013032A1-AB3A-4B2F-A7AA-D28951ABE947}" name="Column7" dataDxfId="52">
      <calculatedColumnFormula>G52/100</calculatedColumnFormula>
    </tableColumn>
    <tableColumn id="8" xr3:uid="{DC9FACD5-6C1F-409A-B572-F1558D079CAE}" name="Column8" dataDxfId="51">
      <calculatedColumnFormula>H52/100</calculatedColumnFormula>
    </tableColumn>
    <tableColumn id="9" xr3:uid="{CF9CC39C-43AE-4B69-BD55-AA363EE52CC7}" name="Column9" dataDxfId="50">
      <calculatedColumnFormula>I52/100</calculatedColumnFormula>
    </tableColumn>
    <tableColumn id="10" xr3:uid="{6D8D2269-AC18-4F24-A358-9C05AB328171}" name="Column10" dataDxfId="49">
      <calculatedColumnFormula>J52/100</calculatedColumnFormula>
    </tableColumn>
    <tableColumn id="11" xr3:uid="{E43600E1-F0BE-417F-9634-36F7AFC750BC}" name="Column11" dataDxfId="48">
      <calculatedColumnFormula>K52/100</calculatedColumnFormula>
    </tableColumn>
    <tableColumn id="12" xr3:uid="{8F29F2EE-E00F-415A-9EA6-800A7B5BDBA8}" name="Column12" dataDxfId="47">
      <calculatedColumnFormula>L52/100</calculatedColumnFormula>
    </tableColumn>
    <tableColumn id="13" xr3:uid="{5C6A8895-7BAD-4B49-9049-665B8CADDB1E}" name="Column13" dataDxfId="46">
      <calculatedColumnFormula>M52/100</calculatedColumnFormula>
    </tableColumn>
    <tableColumn id="14" xr3:uid="{E4D5919F-833A-4C2E-AE2A-BD93C13F0A92}" name="Column14" dataDxfId="45">
      <calculatedColumnFormula>N52/100</calculatedColumnFormula>
    </tableColumn>
    <tableColumn id="15" xr3:uid="{253AB1ED-7833-48F0-8D2D-F60EF0C219B6}" name="Column15" dataDxfId="44">
      <calculatedColumnFormula>O52/100</calculatedColumnFormula>
    </tableColumn>
    <tableColumn id="16" xr3:uid="{DD52C139-93BC-4DA8-A4EB-C93453FA0842}" name="Column16" dataDxfId="43">
      <calculatedColumnFormula>P52/100</calculatedColumnFormula>
    </tableColumn>
    <tableColumn id="17" xr3:uid="{318C9D19-981A-40A4-8ED8-04FB1B6C5201}" name="Column17" dataDxfId="42">
      <calculatedColumnFormula>Q52/100</calculatedColumnFormula>
    </tableColumn>
    <tableColumn id="18" xr3:uid="{A7C2CF86-C39E-4441-9ED8-D32863C61423}" name="Column18" dataDxfId="41">
      <calculatedColumnFormula>R52/100</calculatedColumnFormula>
    </tableColumn>
    <tableColumn id="19" xr3:uid="{1204EBB1-715A-4F5C-BAD6-4A5D7CBB0B0E}" name="Column19" dataDxfId="40">
      <calculatedColumnFormula>S52/100</calculatedColumnFormula>
    </tableColumn>
    <tableColumn id="20" xr3:uid="{D6C07BCF-5098-45A3-9CE7-C4F18C0C9154}" name="Column20" dataDxfId="39">
      <calculatedColumnFormula>T52/100</calculatedColumnFormula>
    </tableColumn>
    <tableColumn id="21" xr3:uid="{A95D033C-3740-4D8A-B836-ACDD31D2EADB}" name="Column21" dataDxfId="38">
      <calculatedColumnFormula>U52/100</calculatedColumnFormula>
    </tableColumn>
    <tableColumn id="22" xr3:uid="{1FC92BF9-D678-4251-981D-ABC7BC8BE11F}" name="Column22" dataDxfId="37">
      <calculatedColumnFormula>V52/100</calculatedColumnFormula>
    </tableColumn>
    <tableColumn id="23" xr3:uid="{EA39B6FB-7B74-4EEE-9953-62893CD87568}" name="Column23" dataDxfId="36">
      <calculatedColumnFormula>W52/100</calculatedColumnFormula>
    </tableColumn>
    <tableColumn id="24" xr3:uid="{222693D3-A3F3-40E4-AB59-33502E6DE0C9}" name="Column24" dataDxfId="35">
      <calculatedColumnFormula>X52/100</calculatedColumnFormula>
    </tableColumn>
    <tableColumn id="25" xr3:uid="{CC99E391-E4BA-4607-914A-B5D1EDDEFC88}" name="Column25" dataDxfId="34">
      <calculatedColumnFormula>Y52/100</calculatedColumnFormula>
    </tableColumn>
    <tableColumn id="26" xr3:uid="{96EBABFA-C228-4EA7-9C3D-F6999D7B5724}" name="Column26" dataDxfId="33">
      <calculatedColumnFormula>Z52/100</calculatedColumnFormula>
    </tableColumn>
    <tableColumn id="27" xr3:uid="{B801663F-EB66-4822-A679-20BE7E8D86A3}" name="Column27" dataDxfId="32">
      <calculatedColumnFormula>AA52/100</calculatedColumnFormula>
    </tableColumn>
    <tableColumn id="28" xr3:uid="{8D481534-DBBA-4078-AD26-EDE24CE9D3B2}" name="Column28" dataDxfId="31">
      <calculatedColumnFormula>AB52/100</calculatedColumnFormula>
    </tableColumn>
    <tableColumn id="29" xr3:uid="{9021BFB7-64B7-4E82-B268-2E42DD45702E}" name="Column29" dataDxfId="30">
      <calculatedColumnFormula>AC52/100</calculatedColumnFormula>
    </tableColumn>
    <tableColumn id="30" xr3:uid="{5F88B209-F973-4136-9EB7-49EA59C2022D}" name="Column30" dataDxfId="29">
      <calculatedColumnFormula>AD52/100</calculatedColumnFormula>
    </tableColumn>
    <tableColumn id="31" xr3:uid="{0E82D0EA-8D19-4C76-BB86-A27DC5F66A3E}" name="Column31" dataDxfId="28">
      <calculatedColumnFormula>AE52/100</calculatedColumnFormula>
    </tableColumn>
    <tableColumn id="32" xr3:uid="{91C9DFC0-3335-4CDB-84D0-E41F06517BDB}" name="Column32" dataDxfId="27">
      <calculatedColumnFormula>AF52/100</calculatedColumnFormula>
    </tableColumn>
    <tableColumn id="33" xr3:uid="{C87AAB1D-644A-457E-A36C-5A427DA4AEFE}" name="Column33" dataDxfId="26">
      <calculatedColumnFormula>AG52/100</calculatedColumnFormula>
    </tableColumn>
    <tableColumn id="34" xr3:uid="{14F2C5AF-2E10-4387-B30A-805DCD57C71D}" name="Column34" dataDxfId="25">
      <calculatedColumnFormula>AH52/100</calculatedColumnFormula>
    </tableColumn>
    <tableColumn id="35" xr3:uid="{5B9D90F9-1EF2-489A-A615-17A30EABC9B1}" name="Column35" dataDxfId="24">
      <calculatedColumnFormula>AI52/100</calculatedColumnFormula>
    </tableColumn>
    <tableColumn id="36" xr3:uid="{2491301E-99DD-4A35-AE8B-DF806B3B24B7}" name="Column36" dataDxfId="23">
      <calculatedColumnFormula>AJ52/100</calculatedColumnFormula>
    </tableColumn>
    <tableColumn id="37" xr3:uid="{2031726B-219B-45F0-BD3B-2AB496369AD2}" name="Column37" dataDxfId="22">
      <calculatedColumnFormula>AK52/100</calculatedColumnFormula>
    </tableColumn>
    <tableColumn id="38" xr3:uid="{6300EA59-A0AA-4407-8493-893D4BE98D00}" name="Column38" dataDxfId="21">
      <calculatedColumnFormula>AL52/100</calculatedColumnFormula>
    </tableColumn>
    <tableColumn id="39" xr3:uid="{7861DADC-E736-486C-8012-71F69DB4167E}" name="Column39" dataDxfId="20">
      <calculatedColumnFormula>AM52/100</calculatedColumnFormula>
    </tableColumn>
    <tableColumn id="40" xr3:uid="{0931CFA8-8CD5-433D-894B-76A13D7A4970}" name="Column40" dataDxfId="19">
      <calculatedColumnFormula>AN52/100</calculatedColumnFormula>
    </tableColumn>
    <tableColumn id="41" xr3:uid="{B650E29B-532C-458E-9905-5F032968969D}" name="Column41" dataDxfId="18">
      <calculatedColumnFormula>AO52/100</calculatedColumnFormula>
    </tableColumn>
    <tableColumn id="42" xr3:uid="{FBC50346-388A-419B-9F1A-E22291AAE0EE}" name="Column42" dataDxfId="17">
      <calculatedColumnFormula>AP52/100</calculatedColumnFormula>
    </tableColumn>
    <tableColumn id="43" xr3:uid="{BBEE2096-3FA3-44C2-83DA-6CAABF975E3B}" name="Column43" dataDxfId="16">
      <calculatedColumnFormula>AQ52/100</calculatedColumnFormula>
    </tableColumn>
    <tableColumn id="44" xr3:uid="{825338A1-2DD8-487B-9165-51C713148FE8}" name="Column44" dataDxfId="15">
      <calculatedColumnFormula>AR52/100</calculatedColumnFormula>
    </tableColumn>
    <tableColumn id="45" xr3:uid="{53865E7E-D00F-4416-B2E6-F7DE0DB14864}" name="Column45" dataDxfId="14">
      <calculatedColumnFormula>AS52/100</calculatedColumnFormula>
    </tableColumn>
    <tableColumn id="46" xr3:uid="{2DECACF3-28FE-4758-ACFC-54751F7B562C}" name="Column46" dataDxfId="13">
      <calculatedColumnFormula>AT52/100</calculatedColumnFormula>
    </tableColumn>
    <tableColumn id="47" xr3:uid="{87354F86-0EB1-4824-AE05-9CEFF49F1090}" name="Column47" dataDxfId="12">
      <calculatedColumnFormula>AU52/100</calculatedColumnFormula>
    </tableColumn>
    <tableColumn id="48" xr3:uid="{ABD19865-583C-446D-9887-1706419F2688}" name="Column48" dataDxfId="11">
      <calculatedColumnFormula>AV52/100</calculatedColumnFormula>
    </tableColumn>
    <tableColumn id="49" xr3:uid="{AE3A7892-A1CF-4B5F-92AA-316DD65F7DE2}" name="Column49" dataDxfId="10">
      <calculatedColumnFormula>AW52/100</calculatedColumnFormula>
    </tableColumn>
    <tableColumn id="50" xr3:uid="{2B312C57-CD74-4E4B-BFCD-A0BDB5DB4579}" name="Column50" dataDxfId="9">
      <calculatedColumnFormula>AX52/100</calculatedColumnFormula>
    </tableColumn>
    <tableColumn id="51" xr3:uid="{A910F186-69F0-4EAB-BA0D-3F1FF3B935AF}" name="Column51" dataDxfId="8">
      <calculatedColumnFormula>AY52/100</calculatedColumnFormula>
    </tableColumn>
    <tableColumn id="52" xr3:uid="{C56AF9EB-D229-42C0-B85D-3BE2226ABD94}" name="Column52" dataDxfId="7">
      <calculatedColumnFormula>AZ52/100</calculatedColumnFormula>
    </tableColumn>
    <tableColumn id="53" xr3:uid="{D047BF1E-8ECC-4F18-A489-C51F99F17F9C}" name="Column53" dataDxfId="6">
      <calculatedColumnFormula>BA52/100</calculatedColumnFormula>
    </tableColumn>
    <tableColumn id="54" xr3:uid="{762AA9E9-7DF6-48F4-9EE6-C84ACCCBCF37}" name="Column54" dataDxfId="5">
      <calculatedColumnFormula>BB52/100</calculatedColumnFormula>
    </tableColumn>
    <tableColumn id="55" xr3:uid="{22451A70-7A3D-419A-87BC-809EDE6E60DF}" name="Column55" dataDxfId="4">
      <calculatedColumnFormula>BC52/100</calculatedColumnFormula>
    </tableColumn>
    <tableColumn id="56" xr3:uid="{7AFB4AAD-7691-4DA4-BDBA-8D496EB920DE}" name="Column56" dataDxfId="3">
      <calculatedColumnFormula>BD52/100</calculatedColumnFormula>
    </tableColumn>
    <tableColumn id="57" xr3:uid="{CF9A250A-8323-45BD-A176-AACAFC39C768}" name="Στήλη1" dataDxfId="2"/>
    <tableColumn id="58" xr3:uid="{A0C1D3A3-EBEC-4BD2-A6A4-AA645D5A5980}" name="Column58" dataDxfId="1">
      <calculatedColumnFormula array="1">PRODUCT(1+Table68[[#This Row],[Ιαν-21]:[Ιουν-25]])-1</calculatedColumnFormula>
    </tableColumn>
    <tableColumn id="59" xr3:uid="{C8826599-AF91-45C1-834A-76DE10CEEA3B}" name="Column59" dataDxfId="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870319-A690-4364-B902-E92B1A6BFED7}">
  <sheetPr>
    <tabColor theme="3" tint="0.249977111117893"/>
  </sheetPr>
  <dimension ref="A1:AS601"/>
  <sheetViews>
    <sheetView topLeftCell="AH1" zoomScale="135" workbookViewId="0">
      <selection activeCell="I1" sqref="A1:I1"/>
    </sheetView>
  </sheetViews>
  <sheetFormatPr defaultColWidth="8.85546875" defaultRowHeight="15"/>
  <cols>
    <col min="2" max="2" width="75" bestFit="1" customWidth="1"/>
    <col min="3" max="3" width="12" bestFit="1" customWidth="1"/>
    <col min="4" max="4" width="17.7109375" customWidth="1"/>
    <col min="5" max="5" width="12" style="41" customWidth="1"/>
    <col min="6" max="6" width="16.140625" style="41" customWidth="1"/>
    <col min="7" max="7" width="22.42578125" bestFit="1" customWidth="1"/>
    <col min="8" max="8" width="31.28515625" bestFit="1" customWidth="1"/>
    <col min="9" max="9" width="20" style="74" customWidth="1"/>
    <col min="10" max="11" width="7.140625" customWidth="1"/>
    <col min="12" max="12" width="31.28515625" bestFit="1" customWidth="1"/>
    <col min="13" max="13" width="31.28515625" customWidth="1"/>
    <col min="14" max="14" width="10.140625" customWidth="1"/>
    <col min="15" max="15" width="14.28515625" customWidth="1"/>
    <col min="16" max="16" width="9.140625"/>
    <col min="17" max="17" width="31.28515625" bestFit="1" customWidth="1"/>
    <col min="18" max="18" width="31.28515625" customWidth="1"/>
    <col min="19" max="20" width="9.140625"/>
    <col min="21" max="21" width="16" customWidth="1"/>
    <col min="22" max="22" width="19.140625" customWidth="1"/>
    <col min="23" max="25" width="18.5703125" customWidth="1"/>
    <col min="26" max="26" width="21.85546875" customWidth="1"/>
    <col min="27" max="28" width="32.28515625" style="23" customWidth="1"/>
    <col min="29" max="29" width="75" bestFit="1" customWidth="1"/>
    <col min="30" max="30" width="11.85546875" customWidth="1"/>
    <col min="31" max="31" width="16.5703125" bestFit="1" customWidth="1"/>
    <col min="32" max="32" width="15.7109375" customWidth="1"/>
    <col min="33" max="33" width="12.5703125" customWidth="1"/>
    <col min="34" max="34" width="14.42578125" style="41" customWidth="1"/>
    <col min="35" max="35" width="13.7109375" style="41" customWidth="1"/>
    <col min="36" max="36" width="11.7109375" style="41" customWidth="1"/>
    <col min="37" max="37" width="0.7109375" style="41" customWidth="1"/>
    <col min="38" max="38" width="19.42578125" style="41" customWidth="1"/>
    <col min="39" max="39" width="10.85546875" style="41" customWidth="1"/>
    <col min="40" max="41" width="8" customWidth="1"/>
    <col min="42" max="42" width="26.85546875" customWidth="1"/>
    <col min="43" max="43" width="24.5703125" bestFit="1" customWidth="1"/>
    <col min="44" max="44" width="23.85546875" bestFit="1" customWidth="1"/>
    <col min="45" max="45" width="17.85546875" bestFit="1" customWidth="1"/>
    <col min="58" max="64" width="8.85546875" bestFit="1" customWidth="1"/>
  </cols>
  <sheetData>
    <row r="1" spans="1:45" ht="43.5">
      <c r="A1" s="76"/>
      <c r="B1" s="77" t="s">
        <v>0</v>
      </c>
      <c r="C1" s="77" t="s">
        <v>1</v>
      </c>
      <c r="D1" s="77" t="s">
        <v>2</v>
      </c>
      <c r="E1" s="78" t="s">
        <v>3</v>
      </c>
      <c r="F1" s="78" t="s">
        <v>4</v>
      </c>
      <c r="G1" s="77" t="s">
        <v>5</v>
      </c>
      <c r="H1" s="77" t="s">
        <v>6</v>
      </c>
      <c r="I1" s="78" t="s">
        <v>7</v>
      </c>
      <c r="L1" s="89" t="s">
        <v>6</v>
      </c>
      <c r="M1" s="89" t="s">
        <v>5</v>
      </c>
      <c r="N1" s="89" t="s">
        <v>8</v>
      </c>
      <c r="O1" s="78" t="s">
        <v>9</v>
      </c>
      <c r="Q1" s="90" t="s">
        <v>6</v>
      </c>
      <c r="R1" s="90" t="s">
        <v>5</v>
      </c>
      <c r="S1" s="90" t="s">
        <v>8</v>
      </c>
      <c r="T1" s="90" t="s">
        <v>9</v>
      </c>
      <c r="U1" s="90" t="s">
        <v>10</v>
      </c>
      <c r="V1" s="90" t="s">
        <v>11</v>
      </c>
      <c r="W1" s="90" t="s">
        <v>12</v>
      </c>
      <c r="X1" s="90" t="s">
        <v>13</v>
      </c>
      <c r="Y1" s="90" t="s">
        <v>14</v>
      </c>
      <c r="AA1" s="77" t="s">
        <v>15</v>
      </c>
      <c r="AB1" s="77"/>
      <c r="AC1" s="77" t="s">
        <v>16</v>
      </c>
      <c r="AD1" s="77" t="s">
        <v>1</v>
      </c>
      <c r="AE1" s="77" t="s">
        <v>17</v>
      </c>
      <c r="AF1" s="77" t="s">
        <v>18</v>
      </c>
      <c r="AG1" s="78" t="s">
        <v>3</v>
      </c>
      <c r="AH1" s="79" t="s">
        <v>19</v>
      </c>
      <c r="AI1" s="79" t="s">
        <v>20</v>
      </c>
      <c r="AJ1" s="79" t="s">
        <v>21</v>
      </c>
      <c r="AK1" s="78"/>
      <c r="AL1" s="79" t="s">
        <v>22</v>
      </c>
      <c r="AM1" s="78" t="s">
        <v>23</v>
      </c>
      <c r="AP1" s="78" t="s">
        <v>5</v>
      </c>
      <c r="AQ1" s="78" t="s">
        <v>24</v>
      </c>
      <c r="AR1" s="78" t="s">
        <v>25</v>
      </c>
      <c r="AS1" s="78" t="s">
        <v>26</v>
      </c>
    </row>
    <row r="2" spans="1:45">
      <c r="A2">
        <v>1</v>
      </c>
      <c r="B2" t="s">
        <v>27</v>
      </c>
      <c r="C2" t="s">
        <v>28</v>
      </c>
      <c r="D2" t="s">
        <v>29</v>
      </c>
      <c r="E2" s="41">
        <v>86.71</v>
      </c>
      <c r="F2" s="75">
        <v>2.3699999999999999E-2</v>
      </c>
      <c r="G2" t="s">
        <v>30</v>
      </c>
      <c r="H2" t="s">
        <v>31</v>
      </c>
      <c r="I2" s="41" t="s">
        <v>32</v>
      </c>
      <c r="J2" s="1"/>
      <c r="L2" s="3" t="s">
        <v>33</v>
      </c>
      <c r="M2" s="3" t="s">
        <v>34</v>
      </c>
      <c r="N2" s="4">
        <f>SUMIFS(F:F,H:H,L2)</f>
        <v>0.11949999999999998</v>
      </c>
      <c r="O2" s="3">
        <f>COUNTIFS(H:H,L2)</f>
        <v>50</v>
      </c>
      <c r="Q2" s="3" t="s">
        <v>33</v>
      </c>
      <c r="R2" s="3" t="s">
        <v>34</v>
      </c>
      <c r="S2" s="4">
        <f>SUMIFS(F:F,H:H,L2,I:I,"Yes")</f>
        <v>0.11929999999999998</v>
      </c>
      <c r="T2" s="3">
        <f>COUNTIFS(H:H,L2,I:I,"Yes")</f>
        <v>49</v>
      </c>
      <c r="U2" s="4">
        <f>S2/$S$22</f>
        <v>0.13319191693647423</v>
      </c>
      <c r="V2" s="4" cm="1">
        <f t="array" ref="V2">_xlfn.PERCENTILE.EXC(_xlfn._xlws.FILTER(F2:F601,(H2:H601="Banking")*($I$2:$I$601="Yes")),0.8)</f>
        <v>4.1000000000000003E-3</v>
      </c>
      <c r="W2" s="28" cm="1">
        <f t="array" ref="W2">_xlfn.PERCENTILE.EXC(_xlfn._xlws.FILTER($E$2:$E$601,($H$2:$H$601="Banking")*($I$2:$I$601="Yes")),0.8)</f>
        <v>83.65</v>
      </c>
      <c r="X2" s="51" cm="1">
        <f t="array" ref="X2">AVERAGE(_xlfn._xlws.FILTER($E$2:$E$601, ($H$2:$H$601="Banking") * ($I$2:$I$601="Yes")))</f>
        <v>72.502244897959201</v>
      </c>
      <c r="Y2" s="51">
        <f>AVERAGE(AG2:AG7)</f>
        <v>88.815000000000012</v>
      </c>
      <c r="AA2" s="43" t="s">
        <v>34</v>
      </c>
      <c r="AB2" s="42" t="s">
        <v>33</v>
      </c>
      <c r="AC2" t="s">
        <v>35</v>
      </c>
      <c r="AD2" t="s">
        <v>36</v>
      </c>
      <c r="AE2" t="s">
        <v>37</v>
      </c>
      <c r="AF2" s="55" t="s">
        <v>38</v>
      </c>
      <c r="AG2" s="41">
        <v>93.03</v>
      </c>
      <c r="AH2" s="80">
        <v>6.3E-3</v>
      </c>
      <c r="AI2" s="48">
        <f>AH2/SUM($AH$2:$AH$7)</f>
        <v>0.18805970149253731</v>
      </c>
      <c r="AJ2" s="81">
        <f>AI2*$N$2</f>
        <v>2.2473134328358204E-2</v>
      </c>
      <c r="AK2" s="82">
        <v>2.2473134328358201E-2</v>
      </c>
      <c r="AL2" s="83">
        <f>AK2/$AJ$51</f>
        <v>2.3578988908150449E-2</v>
      </c>
      <c r="AM2" s="84">
        <f>AL2^2</f>
        <v>5.5596871793068192E-4</v>
      </c>
      <c r="AP2" s="3" t="s">
        <v>34</v>
      </c>
      <c r="AQ2" s="24">
        <f>SUM(N2:N4)</f>
        <v>0.23789999999999997</v>
      </c>
      <c r="AR2" s="24">
        <f>SUM(AJ2:AJ16)</f>
        <v>0.23790000000000003</v>
      </c>
      <c r="AS2" s="24">
        <f>AR2-AQ2</f>
        <v>0</v>
      </c>
    </row>
    <row r="3" spans="1:45">
      <c r="A3">
        <v>2</v>
      </c>
      <c r="B3" t="s">
        <v>39</v>
      </c>
      <c r="C3" t="s">
        <v>40</v>
      </c>
      <c r="D3" t="s">
        <v>41</v>
      </c>
      <c r="E3" s="41">
        <v>74.400000000000006</v>
      </c>
      <c r="F3" s="75">
        <v>2.1999999999999999E-2</v>
      </c>
      <c r="G3" t="s">
        <v>30</v>
      </c>
      <c r="H3" t="s">
        <v>42</v>
      </c>
      <c r="I3" s="41" t="s">
        <v>32</v>
      </c>
      <c r="J3" s="1"/>
      <c r="L3" s="3" t="s">
        <v>43</v>
      </c>
      <c r="M3" s="3" t="s">
        <v>34</v>
      </c>
      <c r="N3" s="4">
        <f>SUMIFS(F:F,H:H,L3)</f>
        <v>6.5799999999999997E-2</v>
      </c>
      <c r="O3" s="3">
        <f>COUNTIFS(H:H,L3)</f>
        <v>33</v>
      </c>
      <c r="Q3" s="3" t="s">
        <v>43</v>
      </c>
      <c r="R3" s="3" t="s">
        <v>34</v>
      </c>
      <c r="S3" s="4">
        <f>SUMIFS(F:F,H:H,L3,I:I,"Yes")</f>
        <v>6.5299999999999997E-2</v>
      </c>
      <c r="T3" s="3">
        <f>COUNTIFS(H:H,L3,I:I,"Yes")</f>
        <v>31</v>
      </c>
      <c r="U3" s="4">
        <f t="shared" ref="U3:U21" si="0">S3/$S$22</f>
        <v>7.2903874064977101E-2</v>
      </c>
      <c r="V3" s="4" cm="1">
        <f t="array" ref="V3">_xlfn.PERCENTILE.EXC(_xlfn._xlws.FILTER($F$2:$F$601,(H2:H601="Insurance")*($I$2:$I$601="Yes")),0.8)</f>
        <v>2.9600000000000017E-3</v>
      </c>
      <c r="W3" s="28" cm="1">
        <f t="array" ref="W3">_xlfn.PERCENTILE.EXC(_xlfn._xlws.FILTER($E$2:$E$601,($H$2:$H$601="Insurance")*($I$2:$I$601="Yes")),0.8)</f>
        <v>82.11</v>
      </c>
      <c r="X3" s="51" cm="1">
        <f t="array" ref="X3">AVERAGE(_xlfn._xlws.FILTER($E$2:$E$601, ($H$2:$H$601="Insurance") * ($I$2:$I$601="Yes")))</f>
        <v>72.5083870967742</v>
      </c>
      <c r="Y3" s="51">
        <f>AVERAGE(AG8:AG12)</f>
        <v>86.114000000000004</v>
      </c>
      <c r="AA3" s="45"/>
      <c r="AC3" t="s">
        <v>44</v>
      </c>
      <c r="AD3" t="s">
        <v>45</v>
      </c>
      <c r="AE3" t="s">
        <v>46</v>
      </c>
      <c r="AF3" s="55" t="s">
        <v>47</v>
      </c>
      <c r="AG3" s="41">
        <v>92.51</v>
      </c>
      <c r="AH3" s="80">
        <v>7.4000000000000003E-3</v>
      </c>
      <c r="AI3" s="48">
        <f>AH3/SUM($AH$2:$AH$7)</f>
        <v>0.22089552238805971</v>
      </c>
      <c r="AJ3" s="81">
        <f>AI3*$N$2</f>
        <v>2.6397014925373132E-2</v>
      </c>
      <c r="AK3" s="82">
        <v>2.6397014925373132E-2</v>
      </c>
      <c r="AL3" s="83">
        <f>AK3/$AJ$51</f>
        <v>2.7695955225446569E-2</v>
      </c>
      <c r="AM3" s="84">
        <f>AL3^2</f>
        <v>7.670659358499411E-4</v>
      </c>
      <c r="AP3" s="5" t="s">
        <v>48</v>
      </c>
      <c r="AQ3" s="24">
        <f>SUM(N5:N6)</f>
        <v>0.17970000000000008</v>
      </c>
      <c r="AR3" s="24">
        <f>SUM(AJ17:AJ25)</f>
        <v>0.17970000000000011</v>
      </c>
      <c r="AS3" s="24">
        <f>AR3-AQ3</f>
        <v>0</v>
      </c>
    </row>
    <row r="4" spans="1:45">
      <c r="A4">
        <v>3</v>
      </c>
      <c r="B4" t="s">
        <v>49</v>
      </c>
      <c r="C4" t="s">
        <v>50</v>
      </c>
      <c r="D4" t="s">
        <v>51</v>
      </c>
      <c r="E4" s="41">
        <v>88.03</v>
      </c>
      <c r="F4" s="75">
        <v>2.1899999999999999E-2</v>
      </c>
      <c r="G4" t="s">
        <v>52</v>
      </c>
      <c r="H4" t="s">
        <v>53</v>
      </c>
      <c r="I4" s="41" t="s">
        <v>32</v>
      </c>
      <c r="J4" s="1"/>
      <c r="L4" s="3" t="s">
        <v>54</v>
      </c>
      <c r="M4" s="3" t="s">
        <v>34</v>
      </c>
      <c r="N4" s="4">
        <f>SUMIFS(F:F,H:H,L4)</f>
        <v>5.2600000000000008E-2</v>
      </c>
      <c r="O4" s="3">
        <f>COUNTIFS(H:H,L4)</f>
        <v>41</v>
      </c>
      <c r="Q4" s="3" t="s">
        <v>54</v>
      </c>
      <c r="R4" s="3" t="s">
        <v>34</v>
      </c>
      <c r="S4" s="4">
        <f>SUMIFS(F:F,H:H,L4,I:I,"Yes")</f>
        <v>5.220000000000001E-2</v>
      </c>
      <c r="T4" s="3">
        <f>COUNTIFS(H:H,L4,I:I,"Yes")</f>
        <v>40</v>
      </c>
      <c r="U4" s="4">
        <f t="shared" si="0"/>
        <v>5.8278441442447246E-2</v>
      </c>
      <c r="V4" s="4" cm="1">
        <f t="array" ref="V4">_xlfn.PERCENTILE.EXC(_xlfn._xlws.FILTER($F$2:$F$601,(H2:H601="Financial Services")*($I$2:$I$601="Yes")),0.8)</f>
        <v>2.2800000000000025E-3</v>
      </c>
      <c r="W4" s="29" cm="1">
        <f t="array" ref="W4">_xlfn.PERCENTILE.EXC(_xlfn._xlws.FILTER($E$2:$E$601,($H$2:$H$601="Financial Services")*($I$2:$I$601="Yes")),0.8)</f>
        <v>70.552000000000007</v>
      </c>
      <c r="X4" s="51" cm="1">
        <f t="array" ref="X4">AVERAGE(_xlfn._xlws.FILTER($E$2:$E$601, ($H$2:$H$601="Financial Services") * ($I$2:$I$601="Yes")))</f>
        <v>59.268000000000008</v>
      </c>
      <c r="Y4" s="51">
        <f>AVERAGE(AG13:AG16)</f>
        <v>75.512500000000003</v>
      </c>
      <c r="AA4" s="45"/>
      <c r="AC4" t="s">
        <v>55</v>
      </c>
      <c r="AD4" t="s">
        <v>56</v>
      </c>
      <c r="AE4" t="s">
        <v>57</v>
      </c>
      <c r="AF4" s="55" t="s">
        <v>58</v>
      </c>
      <c r="AG4" s="41">
        <v>91.93</v>
      </c>
      <c r="AH4" s="80">
        <v>6.6E-3</v>
      </c>
      <c r="AI4" s="48">
        <f t="shared" ref="AI3:AI8" si="1">AH4/SUM($AH$2:$AH$7)</f>
        <v>0.19701492537313431</v>
      </c>
      <c r="AJ4" s="81">
        <f>AI4*$N$2</f>
        <v>2.3543283582089545E-2</v>
      </c>
      <c r="AK4" s="82">
        <v>2.3543283582089545E-2</v>
      </c>
      <c r="AL4" s="83">
        <f>AK4/$AJ$51</f>
        <v>2.4701797903776662E-2</v>
      </c>
      <c r="AM4" s="84">
        <f t="shared" ref="AM4:AM41" si="2">AL4^2</f>
        <v>6.1017881967902513E-4</v>
      </c>
      <c r="AP4" t="s">
        <v>59</v>
      </c>
      <c r="AQ4" s="24">
        <f>SUM(N7)</f>
        <v>0.12950000000000006</v>
      </c>
      <c r="AR4" s="24">
        <f>SUM(AJ26:AJ29)</f>
        <v>0.12950000000000003</v>
      </c>
      <c r="AS4" s="24">
        <f>AR4-AQ4</f>
        <v>0</v>
      </c>
    </row>
    <row r="5" spans="1:45">
      <c r="A5">
        <v>4</v>
      </c>
      <c r="B5" t="s">
        <v>60</v>
      </c>
      <c r="C5" t="s">
        <v>61</v>
      </c>
      <c r="D5" t="s">
        <v>62</v>
      </c>
      <c r="E5" s="41">
        <v>86.7</v>
      </c>
      <c r="F5" s="75">
        <v>1.7299999999999999E-2</v>
      </c>
      <c r="G5" t="s">
        <v>59</v>
      </c>
      <c r="H5" t="s">
        <v>59</v>
      </c>
      <c r="I5" s="41" t="s">
        <v>32</v>
      </c>
      <c r="J5" s="1"/>
      <c r="L5" s="5" t="s">
        <v>63</v>
      </c>
      <c r="M5" s="5" t="s">
        <v>48</v>
      </c>
      <c r="N5" s="6">
        <f>SUMIFS(F:F,H:H,L5)</f>
        <v>0.12140000000000009</v>
      </c>
      <c r="O5" s="5">
        <f>COUNTIFS(H:H,L5)</f>
        <v>69</v>
      </c>
      <c r="Q5" s="5" t="s">
        <v>63</v>
      </c>
      <c r="R5" s="5" t="s">
        <v>48</v>
      </c>
      <c r="S5" s="6">
        <f>SUMIFS(F:F,H:H,L5,I:I,"Yes")</f>
        <v>9.9400000000000072E-2</v>
      </c>
      <c r="T5" s="5">
        <f>COUNTIFS(H:H,L5,I:I,"Yes")</f>
        <v>66</v>
      </c>
      <c r="U5" s="6">
        <f t="shared" si="0"/>
        <v>0.11097465669308926</v>
      </c>
      <c r="V5" s="6" cm="1">
        <f t="array" ref="V5">_xlfn.PERCENTILE.EXC(_xlfn._xlws.FILTER($F$2:$F$601,(H2:H601="industrial Products")*($I$2:$I$601="Yes")),0.8)</f>
        <v>1.8E-3</v>
      </c>
      <c r="W5" s="30" cm="1">
        <f t="array" ref="W5">_xlfn.PERCENTILE.EXC(_xlfn._xlws.FILTER($E$2:$E$601,($H$2:$H$601="Industrial Products")*($I$2:$I$601="Yes")),0.8)</f>
        <v>82.043999999999997</v>
      </c>
      <c r="X5" s="30" cm="1">
        <f t="array" ref="X5">AVERAGE(_xlfn._xlws.FILTER($E$2:$E$601, ($H$2:$H$601="Industrial Products") * ($I$2:$I$601="Yes")))</f>
        <v>69.047878787878787</v>
      </c>
      <c r="Y5" s="30">
        <f>AVERAGE(AG17:AG22)</f>
        <v>85.410000000000011</v>
      </c>
      <c r="AA5" s="45"/>
      <c r="AC5" t="s">
        <v>64</v>
      </c>
      <c r="AD5" t="s">
        <v>65</v>
      </c>
      <c r="AE5" t="s">
        <v>66</v>
      </c>
      <c r="AF5" s="55" t="s">
        <v>67</v>
      </c>
      <c r="AG5" s="41">
        <v>86.1</v>
      </c>
      <c r="AH5" s="80">
        <v>4.5999999999999999E-3</v>
      </c>
      <c r="AI5" s="48">
        <f t="shared" si="1"/>
        <v>0.1373134328358209</v>
      </c>
      <c r="AJ5" s="81">
        <f>AI5*$N$2</f>
        <v>1.6408955223880594E-2</v>
      </c>
      <c r="AK5" s="82">
        <v>1.6408955223880594E-2</v>
      </c>
      <c r="AL5" s="83">
        <f>AK5/$AJ$51</f>
        <v>1.7216404599601918E-2</v>
      </c>
      <c r="AM5" s="84">
        <f t="shared" si="2"/>
        <v>2.9640458733719407E-4</v>
      </c>
      <c r="AP5" s="7" t="s">
        <v>52</v>
      </c>
      <c r="AQ5" s="24">
        <f>SUM(N8:N9)</f>
        <v>0.10040000000000002</v>
      </c>
      <c r="AR5" s="24">
        <f>SUM(AJ30:AJ34)</f>
        <v>0.10040000000000002</v>
      </c>
      <c r="AS5" s="24">
        <f>AR5-AQ5</f>
        <v>0</v>
      </c>
    </row>
    <row r="6" spans="1:45">
      <c r="A6">
        <v>5</v>
      </c>
      <c r="B6" t="s">
        <v>68</v>
      </c>
      <c r="C6" t="s">
        <v>69</v>
      </c>
      <c r="D6" t="s">
        <v>70</v>
      </c>
      <c r="E6" s="41">
        <v>82.21</v>
      </c>
      <c r="F6" s="75">
        <v>1.7100000000000001E-2</v>
      </c>
      <c r="G6" t="s">
        <v>59</v>
      </c>
      <c r="H6" t="s">
        <v>59</v>
      </c>
      <c r="I6" s="41" t="s">
        <v>32</v>
      </c>
      <c r="J6" s="1"/>
      <c r="L6" s="5" t="s">
        <v>71</v>
      </c>
      <c r="M6" s="5" t="s">
        <v>48</v>
      </c>
      <c r="N6" s="6">
        <f>SUMIFS(F:F,H:H,L6)</f>
        <v>5.8300000000000005E-2</v>
      </c>
      <c r="O6" s="5">
        <f>COUNTIFS(H:H,L6)</f>
        <v>53</v>
      </c>
      <c r="Q6" s="5" t="s">
        <v>71</v>
      </c>
      <c r="R6" s="5" t="s">
        <v>48</v>
      </c>
      <c r="S6" s="6">
        <f>SUMIFS(F:F,H:H,L6,I:I,"Yes")</f>
        <v>5.7300000000000004E-2</v>
      </c>
      <c r="T6" s="5">
        <f>COUNTIFS(H:H,L6,I:I,"Yes")</f>
        <v>50</v>
      </c>
      <c r="U6" s="6">
        <f t="shared" si="0"/>
        <v>6.3972312158088643E-2</v>
      </c>
      <c r="V6" s="6" cm="1">
        <f t="array" ref="V6">_xlfn.PERCENTILE.EXC(_xlfn._xlws.FILTER($F$2:$F$601,(H2:H601="Industrial Services")*($I$2:$I$601="Yes")),0.8)</f>
        <v>1.3600000000000007E-3</v>
      </c>
      <c r="W6" s="30" cm="1">
        <f t="array" ref="W6">_xlfn.PERCENTILE.EXC(_xlfn._xlws.FILTER($E$2:$E$601,($H$2:$H$601="Industrial Services")*($I$2:$I$601="Yes")),0.8)</f>
        <v>80.186000000000007</v>
      </c>
      <c r="X6" s="30" cm="1">
        <f t="array" ref="X6">AVERAGE(_xlfn._xlws.FILTER($E$2:$E$601, ($H$2:$H$601="Industrial Services") * ($I$2:$I$601="Yes")))</f>
        <v>71.291200000000018</v>
      </c>
      <c r="Y6" s="30">
        <f>AVERAGE(AG23:AG25)</f>
        <v>85.023333333333341</v>
      </c>
      <c r="AA6" s="45"/>
      <c r="AC6" t="s">
        <v>72</v>
      </c>
      <c r="AD6" t="s">
        <v>73</v>
      </c>
      <c r="AE6" t="s">
        <v>74</v>
      </c>
      <c r="AF6" s="55" t="s">
        <v>67</v>
      </c>
      <c r="AG6" s="41">
        <v>85.67</v>
      </c>
      <c r="AH6" s="80">
        <v>4.5999999999999999E-3</v>
      </c>
      <c r="AI6" s="48">
        <f t="shared" si="1"/>
        <v>0.1373134328358209</v>
      </c>
      <c r="AJ6" s="81">
        <f t="shared" ref="AJ5:AK7" si="3">AI6*$N$2</f>
        <v>1.6408955223880594E-2</v>
      </c>
      <c r="AK6" s="82">
        <v>1.6408955223880594E-2</v>
      </c>
      <c r="AL6" s="83">
        <f>AK6/$AJ$51</f>
        <v>1.7216404599601918E-2</v>
      </c>
      <c r="AM6" s="84">
        <f t="shared" si="2"/>
        <v>2.9640458733719407E-4</v>
      </c>
      <c r="AP6" s="9" t="s">
        <v>75</v>
      </c>
      <c r="AQ6" s="24">
        <f>SUM(N10:N12)</f>
        <v>7.8799999999999981E-2</v>
      </c>
      <c r="AR6" s="24">
        <f>SUM(AJ35:AJ38)</f>
        <v>7.8799999999999981E-2</v>
      </c>
      <c r="AS6" s="24">
        <f>AR6-AQ6</f>
        <v>0</v>
      </c>
    </row>
    <row r="7" spans="1:45">
      <c r="A7">
        <v>6</v>
      </c>
      <c r="B7" t="s">
        <v>76</v>
      </c>
      <c r="C7" t="s">
        <v>77</v>
      </c>
      <c r="D7" t="s">
        <v>78</v>
      </c>
      <c r="E7" s="41">
        <v>76.08</v>
      </c>
      <c r="F7" s="75">
        <v>1.6899999999999998E-2</v>
      </c>
      <c r="G7" t="s">
        <v>59</v>
      </c>
      <c r="H7" t="s">
        <v>59</v>
      </c>
      <c r="I7" s="41" t="s">
        <v>32</v>
      </c>
      <c r="J7" s="1"/>
      <c r="L7" t="s">
        <v>59</v>
      </c>
      <c r="M7" t="s">
        <v>59</v>
      </c>
      <c r="N7" s="2">
        <f>SUMIFS(F:F,H:H,L7)</f>
        <v>0.12950000000000006</v>
      </c>
      <c r="O7">
        <f>COUNTIFS(H:H,L7)</f>
        <v>52</v>
      </c>
      <c r="Q7" t="s">
        <v>59</v>
      </c>
      <c r="R7" t="s">
        <v>59</v>
      </c>
      <c r="S7" s="2">
        <f>SUMIFS(F:F,H:H,L7,I:I,"Yes")</f>
        <v>0.12180000000000005</v>
      </c>
      <c r="T7">
        <f>COUNTIFS(H:H,L7,I:I,"Yes")</f>
        <v>49</v>
      </c>
      <c r="U7" s="2">
        <f t="shared" si="0"/>
        <v>0.13598303003237694</v>
      </c>
      <c r="V7" s="2" cm="1">
        <f t="array" ref="V7">_xlfn.PERCENTILE.EXC(_xlfn._xlws.FILTER($F$2:$F$601,(H2:H601="Health Care")*($I$2:$I$601="Yes")),0.8)</f>
        <v>2.0999999999999999E-3</v>
      </c>
      <c r="W7" s="31" cm="1">
        <f t="array" ref="W7">_xlfn.PERCENTILE.EXC(_xlfn._xlws.FILTER($E$2:$E$601,($H$2:$H$601="Health Care")*($I$2:$I$601="Yes")),0.8)</f>
        <v>83.09</v>
      </c>
      <c r="X7" s="31" cm="1">
        <f t="array" ref="X7">AVERAGE(_xlfn._xlws.FILTER($E$2:$E$601, ($H$2:$H$601="Health Care") * ($I$2:$I$601="Yes")))</f>
        <v>72.728571428571428</v>
      </c>
      <c r="Y7" s="31">
        <f>AVERAGE(AG26:AG29)</f>
        <v>89.204999999999998</v>
      </c>
      <c r="AA7" s="45"/>
      <c r="AC7" t="s">
        <v>79</v>
      </c>
      <c r="AD7" t="s">
        <v>80</v>
      </c>
      <c r="AE7" t="s">
        <v>81</v>
      </c>
      <c r="AF7" s="55" t="s">
        <v>67</v>
      </c>
      <c r="AG7" s="41">
        <v>83.65</v>
      </c>
      <c r="AH7" s="80">
        <v>4.0000000000000001E-3</v>
      </c>
      <c r="AI7" s="48">
        <f t="shared" si="1"/>
        <v>0.11940298507462686</v>
      </c>
      <c r="AJ7" s="81">
        <f>AI7*$N$2</f>
        <v>1.4268656716417909E-2</v>
      </c>
      <c r="AK7" s="82">
        <v>1.4268656716417909E-2</v>
      </c>
      <c r="AL7" s="83">
        <f>AK7/$AJ$51</f>
        <v>1.4970786608349496E-2</v>
      </c>
      <c r="AM7" s="84">
        <f t="shared" si="2"/>
        <v>2.2412445167273659E-4</v>
      </c>
      <c r="AP7" s="11" t="s">
        <v>30</v>
      </c>
      <c r="AQ7" s="24">
        <f>SUM(N13:N14)</f>
        <v>6.88E-2</v>
      </c>
      <c r="AR7" s="24">
        <f>SUM(AJ39:AJ41)</f>
        <v>6.88E-2</v>
      </c>
      <c r="AS7" s="24">
        <f>AR7-AQ7</f>
        <v>0</v>
      </c>
    </row>
    <row r="8" spans="1:45">
      <c r="A8">
        <v>7</v>
      </c>
      <c r="B8" t="s">
        <v>82</v>
      </c>
      <c r="C8" t="s">
        <v>83</v>
      </c>
      <c r="D8" t="s">
        <v>84</v>
      </c>
      <c r="E8" s="41">
        <v>94.58</v>
      </c>
      <c r="F8" s="75">
        <v>1.67E-2</v>
      </c>
      <c r="G8" t="s">
        <v>59</v>
      </c>
      <c r="H8" t="s">
        <v>59</v>
      </c>
      <c r="I8" s="41" t="s">
        <v>32</v>
      </c>
      <c r="J8" s="1"/>
      <c r="L8" s="7" t="s">
        <v>53</v>
      </c>
      <c r="M8" s="7" t="s">
        <v>52</v>
      </c>
      <c r="N8" s="8">
        <f>SUMIFS(F:F,H:H,L8)</f>
        <v>9.0000000000000011E-2</v>
      </c>
      <c r="O8" s="7">
        <f>COUNTIFS(H:H,L8)</f>
        <v>34</v>
      </c>
      <c r="Q8" s="7" t="s">
        <v>53</v>
      </c>
      <c r="R8" s="7" t="s">
        <v>52</v>
      </c>
      <c r="S8" s="8">
        <f>SUMIFS(F:F,H:H,L8,I:I,"Yes")</f>
        <v>8.0800000000000011E-2</v>
      </c>
      <c r="T8" s="7">
        <f>COUNTIFS(H:H,L8,I:I,"Yes")</f>
        <v>31</v>
      </c>
      <c r="U8" s="8">
        <f t="shared" si="0"/>
        <v>9.020877525957352E-2</v>
      </c>
      <c r="V8" s="8" cm="1">
        <f t="array" ref="V8">_xlfn.PERCENTILE.EXC(_xlfn._xlws.FILTER($F$2:$F$601,(H2:H601="Consumer Staple Products")*($I$2:$I$601="Yes")),0.8)</f>
        <v>3.9200000000000007E-3</v>
      </c>
      <c r="W8" s="32" cm="1">
        <f t="array" ref="W8">_xlfn.PERCENTILE.EXC(_xlfn._xlws.FILTER($E$2:$E$601,($H$2:$H$601="Consumer Staple Products")*($I$2:$I$601="Yes")),0.8)</f>
        <v>82.962000000000003</v>
      </c>
      <c r="X8" s="32" cm="1">
        <f t="array" ref="X8">AVERAGE(_xlfn._xlws.FILTER($E$2:$E$601, ($H$2:$H$601="Consumer Staple Products") * ($I$2:$I$601="Yes")))</f>
        <v>71.595483870967726</v>
      </c>
      <c r="Y8" s="32">
        <f>AVERAGE(AG30:AG33)</f>
        <v>87.894999999999996</v>
      </c>
      <c r="AA8" s="43" t="s">
        <v>34</v>
      </c>
      <c r="AB8" s="42" t="s">
        <v>43</v>
      </c>
      <c r="AC8" t="s">
        <v>85</v>
      </c>
      <c r="AD8" t="s">
        <v>86</v>
      </c>
      <c r="AE8" t="s">
        <v>87</v>
      </c>
      <c r="AF8" s="55" t="s">
        <v>88</v>
      </c>
      <c r="AG8" s="41">
        <v>87.93</v>
      </c>
      <c r="AH8" s="80">
        <v>1.2500000000000001E-2</v>
      </c>
      <c r="AI8" s="48">
        <f>AH8/SUM($AH$8:$AH$12)</f>
        <v>0.3541076487252125</v>
      </c>
      <c r="AJ8" s="81">
        <f>AI8*$N$3</f>
        <v>2.3300283286118981E-2</v>
      </c>
      <c r="AK8" s="82">
        <v>2.3300283286118981E-2</v>
      </c>
      <c r="AL8" s="83">
        <f>AK8/$AJ$51</f>
        <v>2.4446840086159872E-2</v>
      </c>
      <c r="AM8" s="84">
        <f t="shared" si="2"/>
        <v>5.9764799019827318E-4</v>
      </c>
      <c r="AP8" s="15" t="s">
        <v>89</v>
      </c>
      <c r="AQ8" s="24">
        <f>SUM(N15)</f>
        <v>6.2999999999999987E-2</v>
      </c>
      <c r="AR8" s="24">
        <f>SUM(AJ42:AJ43)</f>
        <v>6.3E-2</v>
      </c>
      <c r="AS8" s="24">
        <f>AR8-AQ8</f>
        <v>0</v>
      </c>
    </row>
    <row r="9" spans="1:45">
      <c r="A9">
        <v>8</v>
      </c>
      <c r="B9" t="s">
        <v>90</v>
      </c>
      <c r="C9" t="s">
        <v>91</v>
      </c>
      <c r="D9" s="26" t="s">
        <v>92</v>
      </c>
      <c r="E9" s="73">
        <v>90.7</v>
      </c>
      <c r="F9" s="75">
        <v>2.2000000000000001E-3</v>
      </c>
      <c r="G9" t="s">
        <v>34</v>
      </c>
      <c r="H9" t="s">
        <v>33</v>
      </c>
      <c r="I9" s="41" t="s">
        <v>32</v>
      </c>
      <c r="J9" s="1"/>
      <c r="L9" s="7" t="s">
        <v>93</v>
      </c>
      <c r="M9" s="7" t="s">
        <v>52</v>
      </c>
      <c r="N9" s="8">
        <f>SUMIFS(F:F,H:H,L9)</f>
        <v>1.0400000000000003E-2</v>
      </c>
      <c r="O9" s="7">
        <f>COUNTIFS(H:H,L9)</f>
        <v>13</v>
      </c>
      <c r="Q9" s="7" t="s">
        <v>93</v>
      </c>
      <c r="R9" s="7" t="s">
        <v>52</v>
      </c>
      <c r="S9" s="8">
        <f>SUMIFS(F:F,H:H,L9,I:I,"Yes")</f>
        <v>9.6000000000000026E-3</v>
      </c>
      <c r="T9" s="7">
        <f>COUNTIFS(H:H,L9,I:I,"Yes")</f>
        <v>12</v>
      </c>
      <c r="U9" s="8">
        <f t="shared" si="0"/>
        <v>1.0717874288266161E-2</v>
      </c>
      <c r="V9" s="8" cm="1">
        <f t="array" ref="V9">_xlfn.PERCENTILE.EXC(_xlfn._xlws.FILTER($F$2:$F$601,(H2:H601="Retail &amp; Wholesale - Staples")*($I$2:$I$601="Yes")),0.8)</f>
        <v>1.4600000000000006E-3</v>
      </c>
      <c r="W9" s="32" cm="1">
        <f t="array" ref="W9">_xlfn.PERCENTILE.EXC(_xlfn._xlws.FILTER($E$2:$E$601,($H$2:$H$601="Retail &amp; Wholesale - Staples")*($I$2:$I$601="Yes")),0.8)</f>
        <v>80.53</v>
      </c>
      <c r="X9" s="32" cm="1">
        <f t="array" ref="X9">AVERAGE(_xlfn._xlws.FILTER($E$2:$E$601, ($H$2:$H$601="Retail &amp; Wholesale - Staples") * ($I$2:$I$601="Yes")))</f>
        <v>67.525833333333352</v>
      </c>
      <c r="Y9" s="32">
        <f>AVERAGE(AG34)</f>
        <v>85.83</v>
      </c>
      <c r="AA9" s="45"/>
      <c r="AC9" t="s">
        <v>94</v>
      </c>
      <c r="AD9" t="s">
        <v>95</v>
      </c>
      <c r="AE9" t="s">
        <v>96</v>
      </c>
      <c r="AF9" s="55" t="s">
        <v>97</v>
      </c>
      <c r="AG9" s="41">
        <v>85.99</v>
      </c>
      <c r="AH9" s="80">
        <v>8.0999999999999996E-3</v>
      </c>
      <c r="AI9" s="48">
        <f t="shared" ref="AI9:AI13" si="4">AH9/SUM($AH$8:$AH$12)</f>
        <v>0.22946175637393768</v>
      </c>
      <c r="AJ9" s="81">
        <f t="shared" ref="AJ9:AK12" si="5">AI9*$N$3</f>
        <v>1.5098583569405098E-2</v>
      </c>
      <c r="AK9" s="82">
        <v>1.5098583569405098E-2</v>
      </c>
      <c r="AL9" s="83">
        <f>AK9/$AJ$51</f>
        <v>1.5841552375831597E-2</v>
      </c>
      <c r="AM9" s="84">
        <f t="shared" si="2"/>
        <v>2.5095478167621574E-4</v>
      </c>
      <c r="AP9" s="13" t="s">
        <v>98</v>
      </c>
      <c r="AQ9" s="24">
        <f>SUM(N16:N17)</f>
        <v>4.3999999999999997E-2</v>
      </c>
      <c r="AR9" s="24">
        <f>SUM(AJ44)</f>
        <v>1.1999999999999999E-3</v>
      </c>
      <c r="AS9" s="54">
        <f>AR9-AQ9</f>
        <v>-4.2799999999999998E-2</v>
      </c>
    </row>
    <row r="10" spans="1:45">
      <c r="A10">
        <v>9</v>
      </c>
      <c r="B10" t="s">
        <v>99</v>
      </c>
      <c r="C10" t="s">
        <v>100</v>
      </c>
      <c r="F10" s="75">
        <v>1.5800000000000002E-2</v>
      </c>
      <c r="G10" t="s">
        <v>98</v>
      </c>
      <c r="H10" t="s">
        <v>101</v>
      </c>
      <c r="I10" s="41" t="s">
        <v>102</v>
      </c>
      <c r="J10" s="1"/>
      <c r="L10" s="9" t="s">
        <v>103</v>
      </c>
      <c r="M10" s="9" t="s">
        <v>75</v>
      </c>
      <c r="N10" s="10">
        <f>SUMIFS(F:F,H:H,L10)</f>
        <v>5.609999999999999E-2</v>
      </c>
      <c r="O10" s="9">
        <f>COUNTIFS(H:H,L10)</f>
        <v>32</v>
      </c>
      <c r="Q10" s="9" t="s">
        <v>103</v>
      </c>
      <c r="R10" s="9" t="s">
        <v>75</v>
      </c>
      <c r="S10" s="10">
        <f>SUMIFS(F:F,H:H,L10,I:I,"Yes")</f>
        <v>5.609999999999999E-2</v>
      </c>
      <c r="T10" s="9">
        <f>COUNTIFS(H:H,L10,I:I,"Yes")</f>
        <v>32</v>
      </c>
      <c r="U10" s="10">
        <f t="shared" si="0"/>
        <v>6.2632577872055353E-2</v>
      </c>
      <c r="V10" s="10" cm="1">
        <f t="array" ref="V10">_xlfn.PERCENTILE.EXC(_xlfn._xlws.FILTER($F$2:$F$601,(H2:H601="Consumer Discretionary Products")*($I$2:$I$601="Yes")),0.8)</f>
        <v>2.5800000000000024E-3</v>
      </c>
      <c r="W10" s="33" cm="1">
        <f t="array" ref="W10">_xlfn.PERCENTILE.EXC(_xlfn._xlws.FILTER($E$2:$E$601,($H$2:$H$601="Consumer Discretionary Products")*($I$2:$I$601="Yes")),0.8)</f>
        <v>85.073999999999998</v>
      </c>
      <c r="X10" s="33" cm="1">
        <f t="array" ref="X10">AVERAGE(_xlfn._xlws.FILTER($E$2:$E$601, ($H$2:$H$601="Consumer Discretionary Products") * ($I$2:$I$601="Yes")))</f>
        <v>69.740000000000009</v>
      </c>
      <c r="Y10" s="33">
        <f>AVERAGE(AG35:AG36)</f>
        <v>90.704999999999998</v>
      </c>
      <c r="AA10" s="45"/>
      <c r="AC10" t="s">
        <v>104</v>
      </c>
      <c r="AD10" t="s">
        <v>105</v>
      </c>
      <c r="AE10" t="s">
        <v>106</v>
      </c>
      <c r="AF10" s="55" t="s">
        <v>88</v>
      </c>
      <c r="AG10" s="41">
        <v>83.45</v>
      </c>
      <c r="AH10" s="80">
        <v>7.1999999999999998E-3</v>
      </c>
      <c r="AI10" s="48">
        <f t="shared" si="4"/>
        <v>0.20396600566572237</v>
      </c>
      <c r="AJ10" s="81">
        <f t="shared" si="5"/>
        <v>1.3420963172804532E-2</v>
      </c>
      <c r="AK10" s="82">
        <v>1.3420963172804532E-2</v>
      </c>
      <c r="AL10" s="83">
        <f>AK10/$AJ$51</f>
        <v>1.4081379889628086E-2</v>
      </c>
      <c r="AM10" s="84">
        <f t="shared" si="2"/>
        <v>1.9828525959602231E-4</v>
      </c>
      <c r="AP10" s="19" t="s">
        <v>107</v>
      </c>
      <c r="AQ10" s="24">
        <f>SUM(N18)</f>
        <v>4.1900000000000014E-2</v>
      </c>
      <c r="AR10" s="24">
        <f>SUM(AJ45:AJ46)</f>
        <v>4.1900000000000007E-2</v>
      </c>
      <c r="AS10" s="24">
        <f>AR10-AQ10</f>
        <v>0</v>
      </c>
    </row>
    <row r="11" spans="1:45">
      <c r="A11">
        <v>10</v>
      </c>
      <c r="B11" t="s">
        <v>108</v>
      </c>
      <c r="C11" t="s">
        <v>109</v>
      </c>
      <c r="D11" t="s">
        <v>110</v>
      </c>
      <c r="E11" s="41">
        <v>83.7</v>
      </c>
      <c r="F11" s="75">
        <v>1.43E-2</v>
      </c>
      <c r="G11" t="s">
        <v>48</v>
      </c>
      <c r="H11" t="s">
        <v>63</v>
      </c>
      <c r="I11" s="41" t="s">
        <v>32</v>
      </c>
      <c r="J11" s="1"/>
      <c r="L11" s="9" t="s">
        <v>111</v>
      </c>
      <c r="M11" s="9" t="s">
        <v>75</v>
      </c>
      <c r="N11" s="10">
        <f>SUMIFS(F:F,H:H,L11)</f>
        <v>1.4499999999999996E-2</v>
      </c>
      <c r="O11" s="9">
        <f>COUNTIFS(H:H,L11)</f>
        <v>18</v>
      </c>
      <c r="Q11" s="9" t="s">
        <v>111</v>
      </c>
      <c r="R11" s="9" t="s">
        <v>75</v>
      </c>
      <c r="S11" s="10">
        <f>SUMIFS(F:F,H:H,L11,I:I,"Yes")</f>
        <v>1.4199999999999996E-2</v>
      </c>
      <c r="T11" s="9">
        <f>COUNTIFS(H:H,L11,I:I,"Yes")</f>
        <v>17</v>
      </c>
      <c r="U11" s="10">
        <f t="shared" si="0"/>
        <v>1.5853522384727023E-2</v>
      </c>
      <c r="V11" s="10" cm="1">
        <f t="array" ref="V11">_xlfn.PERCENTILE.EXC(_xlfn._xlws.FILTER($F$2:$F$601,(H$2:H601="Retail &amp; Whsle - Discretionary")*($I$2:$I$601="Yes")),0.8)</f>
        <v>1.0400000000000001E-3</v>
      </c>
      <c r="W11" s="33" cm="1">
        <f t="array" ref="W11">_xlfn.PERCENTILE.EXC(_xlfn._xlws.FILTER($E$2:$E$601,($H$2:$H$601="Retail &amp; Whsle - Discretionary")*($I$2:$I$601="Yes")),0.8)</f>
        <v>75.28</v>
      </c>
      <c r="X11" s="33" cm="1">
        <f t="array" ref="X11">AVERAGE(_xlfn._xlws.FILTER($E$2:$E$601, ($H$2:$H$601="Retail &amp; Whsle - Discretionary") * ($I$2:$I$601="Yes")))</f>
        <v>62.925882352941166</v>
      </c>
      <c r="Y11" s="33">
        <f>AVERAGE(AG37)</f>
        <v>75.88</v>
      </c>
      <c r="AA11" s="45"/>
      <c r="AC11" t="s">
        <v>112</v>
      </c>
      <c r="AD11" t="s">
        <v>113</v>
      </c>
      <c r="AE11" t="s">
        <v>114</v>
      </c>
      <c r="AF11" s="55" t="s">
        <v>97</v>
      </c>
      <c r="AG11" s="41">
        <v>82.75</v>
      </c>
      <c r="AH11" s="80">
        <v>4.1000000000000003E-3</v>
      </c>
      <c r="AI11" s="48">
        <f t="shared" si="4"/>
        <v>0.1161473087818697</v>
      </c>
      <c r="AJ11" s="81">
        <f t="shared" si="5"/>
        <v>7.6424929178470257E-3</v>
      </c>
      <c r="AK11" s="82">
        <v>7.6424929178470257E-3</v>
      </c>
      <c r="AL11" s="83">
        <f>AK11/$AJ$51</f>
        <v>8.0185635482604382E-3</v>
      </c>
      <c r="AM11" s="84">
        <f t="shared" si="2"/>
        <v>6.4297361377491026E-5</v>
      </c>
      <c r="AP11" s="17" t="s">
        <v>115</v>
      </c>
      <c r="AQ11" s="24">
        <f>SUM(N19:N20)</f>
        <v>3.9199999999999999E-2</v>
      </c>
      <c r="AR11" s="24">
        <f>SUM(AJ47:AJ48)</f>
        <v>3.9199999999999999E-2</v>
      </c>
      <c r="AS11" s="24">
        <f>AR11-AQ11</f>
        <v>0</v>
      </c>
    </row>
    <row r="12" spans="1:45">
      <c r="A12">
        <v>11</v>
      </c>
      <c r="B12" t="s">
        <v>116</v>
      </c>
      <c r="C12" t="s">
        <v>117</v>
      </c>
      <c r="D12" t="s">
        <v>118</v>
      </c>
      <c r="E12" s="41">
        <v>86.73</v>
      </c>
      <c r="F12" s="75">
        <v>1.2699999999999999E-2</v>
      </c>
      <c r="G12" t="s">
        <v>52</v>
      </c>
      <c r="H12" t="s">
        <v>53</v>
      </c>
      <c r="I12" s="41" t="s">
        <v>32</v>
      </c>
      <c r="J12" s="1"/>
      <c r="L12" s="9" t="s">
        <v>119</v>
      </c>
      <c r="M12" s="9" t="s">
        <v>75</v>
      </c>
      <c r="N12" s="10">
        <f>SUMIFS(F:F,H:H,L12)</f>
        <v>8.2000000000000007E-3</v>
      </c>
      <c r="O12" s="9">
        <f>COUNTIFS(H:H,L12)</f>
        <v>11</v>
      </c>
      <c r="Q12" s="9" t="s">
        <v>119</v>
      </c>
      <c r="R12" s="9" t="s">
        <v>75</v>
      </c>
      <c r="S12" s="10">
        <f>SUMIFS(F:F,H:H,L12,I:I,"Yes")</f>
        <v>8.2000000000000007E-3</v>
      </c>
      <c r="T12" s="9">
        <f>COUNTIFS(H:H,L12,I:I,"Yes")</f>
        <v>11</v>
      </c>
      <c r="U12" s="10">
        <f t="shared" si="0"/>
        <v>9.1548509545606779E-3</v>
      </c>
      <c r="V12" s="10" cm="1">
        <f t="array" ref="V12">_xlfn.PERCENTILE.EXC(_xlfn._xlws.FILTER($F$2:$F$601,(H2:H601="Consumer Discretionary Services")*($I$2:$I$601="Yes")),0.8)</f>
        <v>1.2000000000000008E-3</v>
      </c>
      <c r="W12" s="33" cm="1">
        <f t="array" ref="W12">_xlfn.PERCENTILE.EXC(_xlfn._xlws.FILTER($E$2:$E$601,($H$2:$H$601="Consumer Discretionary Services")*($I$2:$I$601="Yes")),0.8)</f>
        <v>81.178000000000011</v>
      </c>
      <c r="X12" s="33" cm="1">
        <f t="array" ref="X12">AVERAGE(_xlfn._xlws.FILTER($E$2:$E$601, ($H$2:$H$601="Consumer Discretionary Services") * ($I$2:$I$601="Yes")))</f>
        <v>69.844545454545454</v>
      </c>
      <c r="Y12" s="33">
        <f>AVERAGE(AG38)</f>
        <v>88.36</v>
      </c>
      <c r="AA12" s="45"/>
      <c r="AC12" t="s">
        <v>120</v>
      </c>
      <c r="AD12" t="s">
        <v>121</v>
      </c>
      <c r="AE12" t="s">
        <v>122</v>
      </c>
      <c r="AF12" s="55" t="s">
        <v>38</v>
      </c>
      <c r="AG12" s="41">
        <v>90.45</v>
      </c>
      <c r="AH12" s="80">
        <v>3.3999999999999998E-3</v>
      </c>
      <c r="AI12" s="48">
        <f t="shared" si="4"/>
        <v>9.6317280453257784E-2</v>
      </c>
      <c r="AJ12" s="81">
        <f>AI12*$N$3</f>
        <v>6.3376770538243615E-3</v>
      </c>
      <c r="AK12" s="82">
        <v>6.3376770538243615E-3</v>
      </c>
      <c r="AL12" s="83">
        <f>AK12/$AJ$51</f>
        <v>6.6495405034354841E-3</v>
      </c>
      <c r="AM12" s="84">
        <f t="shared" si="2"/>
        <v>4.4216388906829028E-5</v>
      </c>
      <c r="AP12" s="21" t="s">
        <v>123</v>
      </c>
      <c r="AQ12" s="24">
        <f>SUM(N21)</f>
        <v>1.2700000000000003E-2</v>
      </c>
      <c r="AR12" s="24">
        <f>SUM(AJ49:AJ50)</f>
        <v>1.2700000000000003E-2</v>
      </c>
      <c r="AS12" s="24">
        <f>AR12-AQ12</f>
        <v>0</v>
      </c>
    </row>
    <row r="13" spans="1:45">
      <c r="A13">
        <v>12</v>
      </c>
      <c r="B13" t="s">
        <v>85</v>
      </c>
      <c r="C13" t="s">
        <v>86</v>
      </c>
      <c r="D13" t="s">
        <v>87</v>
      </c>
      <c r="E13" s="41">
        <v>87.93</v>
      </c>
      <c r="F13" s="75">
        <v>1.2500000000000001E-2</v>
      </c>
      <c r="G13" t="s">
        <v>34</v>
      </c>
      <c r="H13" t="s">
        <v>43</v>
      </c>
      <c r="I13" s="41" t="s">
        <v>32</v>
      </c>
      <c r="J13" s="1"/>
      <c r="L13" s="11" t="s">
        <v>42</v>
      </c>
      <c r="M13" s="11" t="s">
        <v>30</v>
      </c>
      <c r="N13" s="12">
        <f>SUMIFS(F:F,H:H,L13)</f>
        <v>3.5899999999999994E-2</v>
      </c>
      <c r="O13" s="11">
        <f>COUNTIFS(H:H,L13)</f>
        <v>14</v>
      </c>
      <c r="Q13" s="11" t="s">
        <v>42</v>
      </c>
      <c r="R13" s="11" t="s">
        <v>30</v>
      </c>
      <c r="S13" s="12">
        <f>SUMIFS(F:F,H:H,L13,I:I,"Yes")</f>
        <v>3.5499999999999997E-2</v>
      </c>
      <c r="T13" s="11">
        <f>COUNTIFS(H:H,L13,I:I,"Yes")</f>
        <v>13</v>
      </c>
      <c r="U13" s="12">
        <f>S13/$S$22</f>
        <v>3.9633805961817564E-2</v>
      </c>
      <c r="V13" s="12" cm="1">
        <f t="array" ref="V13">_xlfn.PERCENTILE.EXC(_xlfn._xlws.FILTER($F$2:$F$601,(H2:H601="Tech Hardware &amp; Semiconductors")*($I$2:$I$601="Yes")),0.8)</f>
        <v>2.4000000000000015E-3</v>
      </c>
      <c r="W13" s="34" cm="1">
        <f t="array" ref="W13">_xlfn.PERCENTILE.EXC(_xlfn._xlws.FILTER($E$2:$E$601,($H$2:$H$601="Tech Hardware &amp; Semiconductors")*($I$2:$I$601="Yes")),0.8)</f>
        <v>79.772000000000006</v>
      </c>
      <c r="X13" s="34" cm="1">
        <f t="array" ref="X13">AVERAGE(_xlfn._xlws.FILTER($E$2:$E$601, ($H$2:$H$601="Tech Hardware &amp; Semiconductors") * ($I$2:$I$601="Yes")))</f>
        <v>68.097692307692313</v>
      </c>
      <c r="Y13" s="34">
        <f>AVERAGE(AG39:AG40)</f>
        <v>75.615000000000009</v>
      </c>
      <c r="AA13" s="43" t="s">
        <v>34</v>
      </c>
      <c r="AB13" s="42" t="s">
        <v>54</v>
      </c>
      <c r="AC13" t="s">
        <v>124</v>
      </c>
      <c r="AD13" t="s">
        <v>125</v>
      </c>
      <c r="AE13" t="s">
        <v>126</v>
      </c>
      <c r="AF13" s="55" t="s">
        <v>97</v>
      </c>
      <c r="AG13" s="41">
        <v>86.79</v>
      </c>
      <c r="AH13" s="80">
        <v>7.9000000000000008E-3</v>
      </c>
      <c r="AI13" s="48">
        <f>AH13/SUM($AH$13:$AH$16)</f>
        <v>0.35111111111111115</v>
      </c>
      <c r="AJ13" s="81">
        <f>AI13*$N$4</f>
        <v>1.8468444444444451E-2</v>
      </c>
      <c r="AK13" s="82">
        <v>1.8468444444444451E-2</v>
      </c>
      <c r="AL13" s="83">
        <f>AK13/$AJ$51</f>
        <v>1.9377236852842771E-2</v>
      </c>
      <c r="AM13" s="84">
        <f t="shared" si="2"/>
        <v>3.75477308051168E-4</v>
      </c>
    </row>
    <row r="14" spans="1:45">
      <c r="A14">
        <v>13</v>
      </c>
      <c r="B14" t="s">
        <v>127</v>
      </c>
      <c r="C14" t="s">
        <v>128</v>
      </c>
      <c r="D14" t="s">
        <v>129</v>
      </c>
      <c r="E14" s="41">
        <v>80.63</v>
      </c>
      <c r="F14" s="75">
        <v>1.1299999999999999E-2</v>
      </c>
      <c r="G14" t="s">
        <v>75</v>
      </c>
      <c r="H14" t="s">
        <v>103</v>
      </c>
      <c r="I14" s="41" t="s">
        <v>32</v>
      </c>
      <c r="J14" s="1"/>
      <c r="L14" s="11" t="s">
        <v>31</v>
      </c>
      <c r="M14" s="11" t="s">
        <v>30</v>
      </c>
      <c r="N14" s="12">
        <f>SUMIFS(F:F,H:H,L14)</f>
        <v>3.2899999999999999E-2</v>
      </c>
      <c r="O14" s="11">
        <f>COUNTIFS(H:H,L14)</f>
        <v>15</v>
      </c>
      <c r="Q14" s="11" t="s">
        <v>31</v>
      </c>
      <c r="R14" s="11" t="s">
        <v>30</v>
      </c>
      <c r="S14" s="12">
        <f>SUMIFS(F:F,H:H,L14,I:I,"Yes")</f>
        <v>3.2899999999999999E-2</v>
      </c>
      <c r="T14" s="11">
        <f>COUNTIFS(H:H,L14,I:I,"Yes")</f>
        <v>15</v>
      </c>
      <c r="U14" s="12">
        <f t="shared" si="0"/>
        <v>3.6731048342078812E-2</v>
      </c>
      <c r="V14" s="12" cm="1">
        <f t="array" ref="V14">_xlfn.PERCENTILE.EXC(_xlfn._xlws.FILTER($F$2:$F$601,(H2:H601="Software &amp; Tech Services")*($I$2:$I$601="Yes")),0.8)</f>
        <v>1.9400000000000003E-3</v>
      </c>
      <c r="W14" s="34" cm="1">
        <f t="array" ref="W14">_xlfn.PERCENTILE.EXC(_xlfn._xlws.FILTER($E$2:$E$601,($H$2:$H$601="Software &amp; Tech Services")*($I$2:$I$601="Yes")),0.8)</f>
        <v>73.95</v>
      </c>
      <c r="X14" s="34" cm="1">
        <f t="array" ref="X14">AVERAGE(_xlfn._xlws.FILTER($E$2:$E$601, ($H$2:$H$601="Software &amp; Tech Services") * ($I$2:$I$601="Yes")))</f>
        <v>63.804000000000002</v>
      </c>
      <c r="Y14" s="34">
        <f>AVERAGE(AG41)</f>
        <v>86.71</v>
      </c>
      <c r="AA14" s="45"/>
      <c r="AC14" t="s">
        <v>130</v>
      </c>
      <c r="AD14" t="s">
        <v>131</v>
      </c>
      <c r="AE14" t="s">
        <v>132</v>
      </c>
      <c r="AF14" s="55" t="s">
        <v>67</v>
      </c>
      <c r="AG14" s="41">
        <v>73.69</v>
      </c>
      <c r="AH14" s="80">
        <v>6.1000000000000004E-3</v>
      </c>
      <c r="AI14" s="48">
        <f t="shared" ref="AI14:AI17" si="6">AH14/SUM($AH$13:$AH$16)</f>
        <v>0.27111111111111114</v>
      </c>
      <c r="AJ14" s="81">
        <f t="shared" ref="AJ14:AK16" si="7">AI14*$N$4</f>
        <v>1.4260444444444447E-2</v>
      </c>
      <c r="AK14" s="82">
        <v>1.4260444444444447E-2</v>
      </c>
      <c r="AL14" s="83">
        <f>AK14/$AJ$51</f>
        <v>1.4962170228144417E-2</v>
      </c>
      <c r="AM14" s="84">
        <f t="shared" si="2"/>
        <v>2.2386653793597116E-4</v>
      </c>
    </row>
    <row r="15" spans="1:45">
      <c r="A15">
        <v>14</v>
      </c>
      <c r="B15" t="s">
        <v>133</v>
      </c>
      <c r="C15" t="s">
        <v>134</v>
      </c>
      <c r="D15" t="s">
        <v>135</v>
      </c>
      <c r="E15" s="41">
        <v>82.36</v>
      </c>
      <c r="F15" s="75">
        <v>1.0999999999999999E-2</v>
      </c>
      <c r="G15" t="s">
        <v>48</v>
      </c>
      <c r="H15" t="s">
        <v>63</v>
      </c>
      <c r="I15" s="41" t="s">
        <v>32</v>
      </c>
      <c r="J15" s="1"/>
      <c r="L15" s="15" t="s">
        <v>89</v>
      </c>
      <c r="M15" s="15" t="s">
        <v>89</v>
      </c>
      <c r="N15" s="16">
        <f>SUMIFS(F:F,H:H,L15)</f>
        <v>6.2999999999999987E-2</v>
      </c>
      <c r="O15" s="15">
        <f>COUNTIFS(H:H,L15)</f>
        <v>55</v>
      </c>
      <c r="Q15" s="15" t="s">
        <v>89</v>
      </c>
      <c r="R15" s="15" t="s">
        <v>89</v>
      </c>
      <c r="S15" s="16">
        <f>SUMIFS(F:F,H:H,L15,I:I,"Yes")</f>
        <v>5.6699999999999973E-2</v>
      </c>
      <c r="T15" s="15">
        <f>COUNTIFS(H:H,L15,I:I,"Yes")</f>
        <v>52</v>
      </c>
      <c r="U15" s="16">
        <f>S15/$S$22</f>
        <v>6.330244501507197E-2</v>
      </c>
      <c r="V15" s="16" cm="1">
        <f t="array" ref="V15">_xlfn.PERCENTILE.EXC(_xlfn._xlws.FILTER($F$2:$F$601,(H2:H601="Materials")*($I$2:$I$601="Yes")),0.8)</f>
        <v>1.300000000000003E-3</v>
      </c>
      <c r="W15" s="35" cm="1">
        <f t="array" ref="W15">_xlfn.PERCENTILE.EXC(_xlfn._xlws.FILTER($E$2:$E$601,($H$2:$H$601="Materials")*($I$2:$I$601="Yes")),0.8)</f>
        <v>81.441999999999993</v>
      </c>
      <c r="X15" s="35" cm="1">
        <f t="array" ref="X15">AVERAGE(_xlfn._xlws.FILTER($E$2:$E$601, ($H$2:$H$601="Materials") * ($I$2:$I$601="Yes")))</f>
        <v>71.952692307692288</v>
      </c>
      <c r="Y15" s="35">
        <f>AVERAGE(AG42:AG43)</f>
        <v>88.204999999999998</v>
      </c>
      <c r="AA15" s="45"/>
      <c r="AC15" t="s">
        <v>136</v>
      </c>
      <c r="AD15" t="s">
        <v>137</v>
      </c>
      <c r="AE15" t="s">
        <v>138</v>
      </c>
      <c r="AF15" s="55" t="s">
        <v>88</v>
      </c>
      <c r="AG15" s="41">
        <v>70.819999999999993</v>
      </c>
      <c r="AH15" s="80">
        <v>4.7999999999999996E-3</v>
      </c>
      <c r="AI15" s="48">
        <f t="shared" si="6"/>
        <v>0.21333333333333332</v>
      </c>
      <c r="AJ15" s="81">
        <f t="shared" si="7"/>
        <v>1.1221333333333335E-2</v>
      </c>
      <c r="AK15" s="82">
        <v>1.1221333333333335E-2</v>
      </c>
      <c r="AL15" s="83">
        <f>AK15/$AJ$51</f>
        <v>1.1773510999195606E-2</v>
      </c>
      <c r="AM15" s="84">
        <f t="shared" si="2"/>
        <v>1.386155612481799E-4</v>
      </c>
    </row>
    <row r="16" spans="1:45">
      <c r="A16">
        <v>15</v>
      </c>
      <c r="B16" t="s">
        <v>139</v>
      </c>
      <c r="C16" t="s">
        <v>140</v>
      </c>
      <c r="F16" s="75">
        <v>1.04E-2</v>
      </c>
      <c r="G16" t="s">
        <v>98</v>
      </c>
      <c r="H16" t="s">
        <v>101</v>
      </c>
      <c r="I16" s="41" t="s">
        <v>102</v>
      </c>
      <c r="J16" s="1"/>
      <c r="L16" s="13" t="s">
        <v>101</v>
      </c>
      <c r="M16" s="13" t="s">
        <v>98</v>
      </c>
      <c r="N16" s="14">
        <f>SUMIFS(F:F,H:H,L16)</f>
        <v>4.2799999999999998E-2</v>
      </c>
      <c r="O16" s="13">
        <f>COUNTIFS(H:H,L16)</f>
        <v>20</v>
      </c>
      <c r="Q16" s="13" t="s">
        <v>101</v>
      </c>
      <c r="R16" s="13" t="s">
        <v>98</v>
      </c>
      <c r="S16" s="14">
        <f>SUMIFS(F:F,H:H,L16,I:I,"Yes")</f>
        <v>0</v>
      </c>
      <c r="T16" s="13">
        <f>COUNTIFS(H:H,L16,I:I,"Yes")</f>
        <v>0</v>
      </c>
      <c r="U16" s="14">
        <f t="shared" si="0"/>
        <v>0</v>
      </c>
      <c r="V16" s="14"/>
      <c r="W16" s="36"/>
      <c r="X16" s="36"/>
      <c r="Y16" s="36"/>
      <c r="AA16" s="45"/>
      <c r="AC16" t="s">
        <v>141</v>
      </c>
      <c r="AD16" t="s">
        <v>142</v>
      </c>
      <c r="AE16" t="s">
        <v>143</v>
      </c>
      <c r="AF16" s="55" t="s">
        <v>67</v>
      </c>
      <c r="AG16" s="41">
        <v>70.75</v>
      </c>
      <c r="AH16" s="80">
        <v>3.7000000000000002E-3</v>
      </c>
      <c r="AI16" s="48">
        <f t="shared" si="6"/>
        <v>0.16444444444444445</v>
      </c>
      <c r="AJ16" s="81">
        <f t="shared" si="7"/>
        <v>8.6497777777777788E-3</v>
      </c>
      <c r="AK16" s="82">
        <v>8.6497777777777805E-3</v>
      </c>
      <c r="AL16" s="83">
        <f>AK16/$AJ$51</f>
        <v>9.0754147285466141E-3</v>
      </c>
      <c r="AM16" s="84">
        <f t="shared" si="2"/>
        <v>8.2363152495120817E-5</v>
      </c>
    </row>
    <row r="17" spans="1:39">
      <c r="A17">
        <v>16</v>
      </c>
      <c r="B17" t="s">
        <v>144</v>
      </c>
      <c r="C17" t="s">
        <v>145</v>
      </c>
      <c r="D17" t="s">
        <v>146</v>
      </c>
      <c r="E17" s="41">
        <v>80.55</v>
      </c>
      <c r="F17" s="75">
        <v>1.04E-2</v>
      </c>
      <c r="G17" t="s">
        <v>115</v>
      </c>
      <c r="H17" t="s">
        <v>147</v>
      </c>
      <c r="I17" s="41" t="s">
        <v>32</v>
      </c>
      <c r="J17" s="1"/>
      <c r="L17" s="13" t="s">
        <v>148</v>
      </c>
      <c r="M17" s="13" t="s">
        <v>98</v>
      </c>
      <c r="N17" s="14">
        <f>SUMIFS(F:F,H:H,L17)</f>
        <v>1.1999999999999999E-3</v>
      </c>
      <c r="O17" s="13">
        <f>COUNTIFS(H:H,L17)</f>
        <v>1</v>
      </c>
      <c r="Q17" s="13" t="s">
        <v>148</v>
      </c>
      <c r="R17" s="13" t="s">
        <v>98</v>
      </c>
      <c r="S17" s="14">
        <f>SUMIFS(F:F,H:H,L17,I:I,"Yes")</f>
        <v>1.1999999999999999E-3</v>
      </c>
      <c r="T17" s="13">
        <f>COUNTIFS(H:H,L17,I:I,"Yes")</f>
        <v>1</v>
      </c>
      <c r="U17" s="14">
        <f>S17/$S$22</f>
        <v>1.3397342860332697E-3</v>
      </c>
      <c r="V17" s="37">
        <v>1.1999999999999999E-3</v>
      </c>
      <c r="W17" s="36">
        <v>69.03</v>
      </c>
      <c r="X17" s="36" cm="1">
        <f t="array" ref="X17">AVERAGE(_xlfn._xlws.FILTER($E$2:$E$601, ($H$2:$H$601="Renewable Energy") * ($I$2:$I$601="Yes")))</f>
        <v>69.03</v>
      </c>
      <c r="Y17" s="36">
        <f>AVERAGE(AG44)</f>
        <v>69.03</v>
      </c>
      <c r="AA17" s="43" t="s">
        <v>48</v>
      </c>
      <c r="AB17" s="42" t="s">
        <v>63</v>
      </c>
      <c r="AC17" t="s">
        <v>108</v>
      </c>
      <c r="AD17" t="s">
        <v>109</v>
      </c>
      <c r="AE17" t="s">
        <v>110</v>
      </c>
      <c r="AF17" s="55" t="s">
        <v>88</v>
      </c>
      <c r="AG17" s="41">
        <v>83.7</v>
      </c>
      <c r="AH17" s="80">
        <v>1.43E-2</v>
      </c>
      <c r="AI17" s="48">
        <f>AH17/SUM($AH$17:$AH$22)</f>
        <v>0.31991051454138703</v>
      </c>
      <c r="AJ17" s="81">
        <f>AI17*$N$5</f>
        <v>3.8837136465324412E-2</v>
      </c>
      <c r="AK17" s="82">
        <v>3.8837136465324412E-2</v>
      </c>
      <c r="AL17" s="83">
        <f>AK17/$AJ$51</f>
        <v>4.0748228376166616E-2</v>
      </c>
      <c r="AM17" s="84">
        <f t="shared" si="2"/>
        <v>1.6604181157962301E-3</v>
      </c>
    </row>
    <row r="18" spans="1:39">
      <c r="A18">
        <v>17</v>
      </c>
      <c r="B18" t="s">
        <v>149</v>
      </c>
      <c r="C18" t="s">
        <v>150</v>
      </c>
      <c r="D18" s="26" t="s">
        <v>151</v>
      </c>
      <c r="E18" s="73">
        <v>86.05</v>
      </c>
      <c r="F18" s="75">
        <v>9.7000000000000003E-3</v>
      </c>
      <c r="G18" t="s">
        <v>59</v>
      </c>
      <c r="H18" t="s">
        <v>59</v>
      </c>
      <c r="I18" s="41" t="s">
        <v>32</v>
      </c>
      <c r="J18" s="1"/>
      <c r="L18" s="19" t="s">
        <v>107</v>
      </c>
      <c r="M18" s="19" t="s">
        <v>107</v>
      </c>
      <c r="N18" s="20">
        <f>SUMIFS(F:F,H:H,L18)</f>
        <v>4.1900000000000014E-2</v>
      </c>
      <c r="O18" s="19">
        <f>COUNTIFS(H:H,L18)</f>
        <v>29</v>
      </c>
      <c r="Q18" s="19" t="s">
        <v>107</v>
      </c>
      <c r="R18" s="19" t="s">
        <v>107</v>
      </c>
      <c r="S18" s="20">
        <f>SUMIFS(F:F,H:H,L18,I:I,"Yes")</f>
        <v>3.4299999999999997E-2</v>
      </c>
      <c r="T18" s="19">
        <f>COUNTIFS(H:H,L18,I:I,"Yes")</f>
        <v>21</v>
      </c>
      <c r="U18" s="20">
        <f t="shared" si="0"/>
        <v>3.8294071675784296E-2</v>
      </c>
      <c r="V18" s="20" cm="1">
        <f t="array" ref="V18">_xlfn.PERCENTILE.EXC(_xlfn._xlws.FILTER($F$2:$F$601,(H2:H601="Utilities")*($I$2:$I$601="Yes")),0.8)</f>
        <v>2.7000000000000014E-3</v>
      </c>
      <c r="W18" s="38" cm="1">
        <f t="array" ref="W18">_xlfn.PERCENTILE.EXC(_xlfn._xlws.FILTER($E$2:$E$601,($H$2:$H$601="Utilities")*($I$2:$I$601="Yes")),0.8)</f>
        <v>80.489999999999995</v>
      </c>
      <c r="X18" s="38" cm="1">
        <f t="array" ref="X18">AVERAGE(_xlfn._xlws.FILTER($E$2:$E$601, ($H$2:$H$601="Utilities") * ($I$2:$I$601="Yes")))</f>
        <v>72.127142857142857</v>
      </c>
      <c r="Y18" s="38">
        <f>AVERAGE(AG45:AG46)</f>
        <v>87.134999999999991</v>
      </c>
      <c r="AA18" s="45"/>
      <c r="AC18" t="s">
        <v>133</v>
      </c>
      <c r="AD18" t="s">
        <v>134</v>
      </c>
      <c r="AE18" t="s">
        <v>135</v>
      </c>
      <c r="AF18" s="55" t="s">
        <v>47</v>
      </c>
      <c r="AG18" s="41">
        <v>82.36</v>
      </c>
      <c r="AH18" s="80">
        <v>1.0999999999999999E-2</v>
      </c>
      <c r="AI18" s="48">
        <f t="shared" ref="AI18:AI23" si="8">AH18/SUM($AH$17:$AH$22)</f>
        <v>0.24608501118568232</v>
      </c>
      <c r="AJ18" s="81">
        <f t="shared" ref="AJ18:AK22" si="9">AI18*$N$5</f>
        <v>2.9874720357941857E-2</v>
      </c>
      <c r="AK18" s="82">
        <v>2.9874720357941857E-2</v>
      </c>
      <c r="AL18" s="83">
        <f>AK18/$AJ$51</f>
        <v>3.1344791058589706E-2</v>
      </c>
      <c r="AM18" s="84">
        <f t="shared" si="2"/>
        <v>9.8249592650664517E-4</v>
      </c>
    </row>
    <row r="19" spans="1:39">
      <c r="A19">
        <v>18</v>
      </c>
      <c r="B19" t="s">
        <v>152</v>
      </c>
      <c r="C19" t="s">
        <v>153</v>
      </c>
      <c r="D19" t="s">
        <v>154</v>
      </c>
      <c r="E19" s="41">
        <v>81.2</v>
      </c>
      <c r="F19" s="75">
        <v>9.4000000000000004E-3</v>
      </c>
      <c r="G19" t="s">
        <v>89</v>
      </c>
      <c r="H19" t="s">
        <v>89</v>
      </c>
      <c r="I19" s="41" t="s">
        <v>32</v>
      </c>
      <c r="J19" s="1"/>
      <c r="L19" s="17" t="s">
        <v>147</v>
      </c>
      <c r="M19" s="17" t="s">
        <v>115</v>
      </c>
      <c r="N19" s="18">
        <f>SUMIFS(F:F,H:H,L19)</f>
        <v>2.3200000000000002E-2</v>
      </c>
      <c r="O19" s="17">
        <f>COUNTIFS(H:H,L19)</f>
        <v>14</v>
      </c>
      <c r="Q19" s="17" t="s">
        <v>147</v>
      </c>
      <c r="R19" s="17" t="s">
        <v>115</v>
      </c>
      <c r="S19" s="18">
        <f>SUMIFS(F:F,H:H,L19,I:I,"Yes")</f>
        <v>2.29E-2</v>
      </c>
      <c r="T19" s="17">
        <f>COUNTIFS(H:H,L19,I:I,"Yes")</f>
        <v>13</v>
      </c>
      <c r="U19" s="18">
        <f t="shared" si="0"/>
        <v>2.5566595958468233E-2</v>
      </c>
      <c r="V19" s="18" cm="1">
        <f t="array" ref="V19">_xlfn.PERCENTILE.EXC(_xlfn._xlws.FILTER($F$2:$F$601,(H2:H601="Telecommunications")*($I$2:$I$601="Yes")),0.8)</f>
        <v>1.7200000000000008E-3</v>
      </c>
      <c r="W19" s="39" cm="1">
        <f t="array" ref="W19">_xlfn.PERCENTILE.EXC(_xlfn._xlws.FILTER($E$2:$E$601,($H$2:$H$601="Telecommunications")*($I$2:$I$601="Yes")),0.8)</f>
        <v>83.128</v>
      </c>
      <c r="X19" s="39" cm="1">
        <f t="array" ref="X19">AVERAGE(_xlfn._xlws.FILTER($E$2:$E$601, ($H$2:$H$601="Media") * ($I$2:$I$601="Yes")))</f>
        <v>66.847333333333339</v>
      </c>
      <c r="Y19" s="39">
        <f>AVERAGE(AG47)</f>
        <v>80.55</v>
      </c>
      <c r="AA19" s="45"/>
      <c r="AC19" t="s">
        <v>155</v>
      </c>
      <c r="AD19" t="s">
        <v>156</v>
      </c>
      <c r="AE19" t="s">
        <v>157</v>
      </c>
      <c r="AF19" s="55" t="s">
        <v>97</v>
      </c>
      <c r="AG19" s="41">
        <v>90.42</v>
      </c>
      <c r="AH19" s="80">
        <v>6.8999999999999999E-3</v>
      </c>
      <c r="AI19" s="48">
        <f t="shared" si="8"/>
        <v>0.15436241610738255</v>
      </c>
      <c r="AJ19" s="81">
        <f t="shared" si="9"/>
        <v>1.8739597315436257E-2</v>
      </c>
      <c r="AK19" s="82">
        <v>1.8739597315436257E-2</v>
      </c>
      <c r="AL19" s="83">
        <f>AK19/$AJ$51</f>
        <v>1.9661732573115362E-2</v>
      </c>
      <c r="AM19" s="84">
        <f t="shared" si="2"/>
        <v>3.8658372777670562E-4</v>
      </c>
    </row>
    <row r="20" spans="1:39">
      <c r="A20">
        <v>19</v>
      </c>
      <c r="B20" t="s">
        <v>35</v>
      </c>
      <c r="C20" t="s">
        <v>36</v>
      </c>
      <c r="D20" t="s">
        <v>37</v>
      </c>
      <c r="E20" s="41">
        <v>93.03</v>
      </c>
      <c r="F20" s="75">
        <v>6.3E-3</v>
      </c>
      <c r="G20" t="s">
        <v>34</v>
      </c>
      <c r="H20" t="s">
        <v>33</v>
      </c>
      <c r="I20" s="41" t="s">
        <v>32</v>
      </c>
      <c r="J20" s="1"/>
      <c r="L20" s="17" t="s">
        <v>158</v>
      </c>
      <c r="M20" s="17" t="s">
        <v>115</v>
      </c>
      <c r="N20" s="18">
        <f>SUMIFS(F:F,H:H,L20)</f>
        <v>1.5999999999999997E-2</v>
      </c>
      <c r="O20" s="17">
        <f>COUNTIFS(H:H,L20)</f>
        <v>17</v>
      </c>
      <c r="Q20" s="17" t="s">
        <v>158</v>
      </c>
      <c r="R20" s="17" t="s">
        <v>115</v>
      </c>
      <c r="S20" s="18">
        <f>SUMIFS(F:F,H:H,L20,I:I,"Yes")</f>
        <v>1.5300000000000001E-2</v>
      </c>
      <c r="T20" s="17">
        <f>COUNTIFS(H:H,L20,I:I,"Yes")</f>
        <v>15</v>
      </c>
      <c r="U20" s="18">
        <f t="shared" si="0"/>
        <v>1.7081612146924191E-2</v>
      </c>
      <c r="V20" s="18" cm="1">
        <f t="array" ref="V20">_xlfn.PERCENTILE.EXC(_xlfn._xlws.FILTER($F$2:$F$601,(H2:H601="Media")*($I$2:$I$601="Yes")),0.8)</f>
        <v>1.7400000000000007E-3</v>
      </c>
      <c r="W20" s="39" cm="1">
        <f t="array" ref="W20">_xlfn.PERCENTILE.EXC(_xlfn._xlws.FILTER($E$2:$E$601,($H$2:$H$601="Media")*($I$2:$I$601="Yes")),0.8)</f>
        <v>78.292000000000002</v>
      </c>
      <c r="X20" s="39" cm="1">
        <f t="array" ref="X20">AVERAGE(_xlfn._xlws.FILTER($E$2:$E$601, ($H$2:$H$601="Telecommunications") * ($I$2:$I$601="Yes")))</f>
        <v>71.726153846153849</v>
      </c>
      <c r="Y20" s="39">
        <f>AVERAGE(AG48)</f>
        <v>81.77</v>
      </c>
      <c r="AA20" s="45"/>
      <c r="AC20" t="s">
        <v>159</v>
      </c>
      <c r="AD20" t="s">
        <v>160</v>
      </c>
      <c r="AE20" t="s">
        <v>161</v>
      </c>
      <c r="AF20" s="55" t="s">
        <v>88</v>
      </c>
      <c r="AG20" s="41">
        <v>84.02</v>
      </c>
      <c r="AH20" s="80">
        <v>6.7000000000000002E-3</v>
      </c>
      <c r="AI20" s="48">
        <f t="shared" si="8"/>
        <v>0.1498881431767338</v>
      </c>
      <c r="AJ20" s="81">
        <f t="shared" si="9"/>
        <v>1.8196420581655496E-2</v>
      </c>
      <c r="AK20" s="82">
        <v>1.8196420581655496E-2</v>
      </c>
      <c r="AL20" s="83">
        <f>AK20/$AJ$51</f>
        <v>1.9091827281141005E-2</v>
      </c>
      <c r="AM20" s="84">
        <f t="shared" si="2"/>
        <v>3.6449786893291995E-4</v>
      </c>
    </row>
    <row r="21" spans="1:39">
      <c r="A21">
        <v>20</v>
      </c>
      <c r="B21" t="s">
        <v>162</v>
      </c>
      <c r="C21" t="s">
        <v>163</v>
      </c>
      <c r="F21" s="75">
        <v>8.3000000000000001E-3</v>
      </c>
      <c r="G21" t="s">
        <v>48</v>
      </c>
      <c r="H21" t="s">
        <v>63</v>
      </c>
      <c r="I21" s="41" t="s">
        <v>102</v>
      </c>
      <c r="J21" s="1"/>
      <c r="L21" s="21" t="s">
        <v>123</v>
      </c>
      <c r="M21" s="21" t="s">
        <v>123</v>
      </c>
      <c r="N21" s="22">
        <f>SUMIFS(F:F,H:H,L21)</f>
        <v>1.2700000000000003E-2</v>
      </c>
      <c r="O21" s="21">
        <f>COUNTIFS(H:H,L21)</f>
        <v>29</v>
      </c>
      <c r="Q21" s="21" t="s">
        <v>123</v>
      </c>
      <c r="R21" s="21" t="s">
        <v>123</v>
      </c>
      <c r="S21" s="22">
        <f>SUMIFS(F:F,H:H,L21,I:I,"Yes")</f>
        <v>1.2700000000000003E-2</v>
      </c>
      <c r="T21" s="21">
        <f>COUNTIFS(H:H,L21,I:I,"Yes")</f>
        <v>29</v>
      </c>
      <c r="U21" s="22">
        <f t="shared" si="0"/>
        <v>1.4178854527185442E-2</v>
      </c>
      <c r="V21" s="22" cm="1">
        <f t="array" ref="V21">_xlfn.PERCENTILE.EXC(_xlfn._xlws.FILTER($F$2:$F$601,(H2:H601="Real Estate")*($I$2:$I$601="Yes")),0.8)</f>
        <v>5.9999999999999995E-4</v>
      </c>
      <c r="W21" s="40" cm="1">
        <f t="array" ref="W21">_xlfn.PERCENTILE.EXC(_xlfn._xlws.FILTER($E$2:$E$601,($H$2:$H$601="Real Estate")*($I$2:$I$601="Yes")),0.8)</f>
        <v>85.37</v>
      </c>
      <c r="X21" s="40" cm="1">
        <f t="array" ref="X21">AVERAGE(_xlfn._xlws.FILTER($E$2:$E$601, ($H$2:$H$601="Real Estate") * ($I$2:$I$601="Yes")))</f>
        <v>67.296551724137942</v>
      </c>
      <c r="Y21" s="40">
        <f>AVERAGE(AG49)</f>
        <v>86.02</v>
      </c>
      <c r="AA21" s="45"/>
      <c r="AC21" t="s">
        <v>164</v>
      </c>
      <c r="AD21" t="s">
        <v>165</v>
      </c>
      <c r="AE21" t="s">
        <v>166</v>
      </c>
      <c r="AF21" s="55" t="s">
        <v>167</v>
      </c>
      <c r="AG21" s="41">
        <v>86.49</v>
      </c>
      <c r="AH21" s="80">
        <v>3.3999999999999998E-3</v>
      </c>
      <c r="AI21" s="48">
        <f t="shared" si="8"/>
        <v>7.6062639821029079E-2</v>
      </c>
      <c r="AJ21" s="81">
        <f t="shared" si="9"/>
        <v>9.2340044742729374E-3</v>
      </c>
      <c r="AK21" s="82">
        <v>9.2340044742729374E-3</v>
      </c>
      <c r="AL21" s="83">
        <f>AK21/$AJ$51</f>
        <v>9.68838996356409E-3</v>
      </c>
      <c r="AM21" s="84">
        <f t="shared" si="2"/>
        <v>9.3864900086089383E-5</v>
      </c>
    </row>
    <row r="22" spans="1:39">
      <c r="A22">
        <v>21</v>
      </c>
      <c r="B22" t="s">
        <v>168</v>
      </c>
      <c r="C22" t="s">
        <v>169</v>
      </c>
      <c r="F22" s="75">
        <v>8.3000000000000001E-3</v>
      </c>
      <c r="G22" t="s">
        <v>48</v>
      </c>
      <c r="H22" t="s">
        <v>63</v>
      </c>
      <c r="I22" s="41" t="s">
        <v>102</v>
      </c>
      <c r="J22" s="1"/>
      <c r="L22" s="23" t="s">
        <v>170</v>
      </c>
      <c r="M22" s="23"/>
      <c r="N22" s="27">
        <f>SUM(N2:N21)</f>
        <v>0.99590000000000012</v>
      </c>
      <c r="O22" s="23">
        <f>SUM(O2:O21)</f>
        <v>600</v>
      </c>
      <c r="Q22" s="23" t="s">
        <v>171</v>
      </c>
      <c r="R22" s="23"/>
      <c r="S22" s="27">
        <f>SUM(S2:S21)</f>
        <v>0.89570000000000016</v>
      </c>
      <c r="T22" s="23">
        <f>SUM(T2:T21)</f>
        <v>547</v>
      </c>
      <c r="U22" s="27">
        <f>SUM(U2:U21)</f>
        <v>1</v>
      </c>
      <c r="V22" s="27"/>
      <c r="W22" s="23"/>
      <c r="X22" s="52" cm="1">
        <f t="array" ref="X22">AVERAGE(_xlfn._xlws.FILTER($E$2:$E$601,($I$2:$I$601="Yes")))</f>
        <v>69.488683729433291</v>
      </c>
      <c r="Y22" s="52">
        <f>AVERAGE(AG2:AG50)</f>
        <v>84.977291666666687</v>
      </c>
      <c r="AA22" s="45"/>
      <c r="AC22" t="s">
        <v>172</v>
      </c>
      <c r="AD22" t="s">
        <v>173</v>
      </c>
      <c r="AE22" t="s">
        <v>174</v>
      </c>
      <c r="AF22" s="55" t="s">
        <v>47</v>
      </c>
      <c r="AG22" s="41">
        <v>85.47</v>
      </c>
      <c r="AH22" s="80">
        <v>2.3999999999999998E-3</v>
      </c>
      <c r="AI22" s="48">
        <f t="shared" si="8"/>
        <v>5.3691275167785234E-2</v>
      </c>
      <c r="AJ22" s="81">
        <f t="shared" si="9"/>
        <v>6.5181208053691321E-3</v>
      </c>
      <c r="AK22" s="82">
        <v>6.5181208053691321E-3</v>
      </c>
      <c r="AL22" s="83">
        <f>AK22/$AJ$51</f>
        <v>6.8388635036922994E-3</v>
      </c>
      <c r="AM22" s="84">
        <f t="shared" si="2"/>
        <v>4.6770054022134511E-5</v>
      </c>
    </row>
    <row r="23" spans="1:39">
      <c r="A23">
        <v>22</v>
      </c>
      <c r="B23" t="s">
        <v>175</v>
      </c>
      <c r="C23" t="s">
        <v>176</v>
      </c>
      <c r="D23" s="26" t="s">
        <v>177</v>
      </c>
      <c r="E23" s="73">
        <v>85.52</v>
      </c>
      <c r="F23" s="75">
        <v>8.2000000000000007E-3</v>
      </c>
      <c r="G23" t="s">
        <v>107</v>
      </c>
      <c r="H23" t="s">
        <v>107</v>
      </c>
      <c r="I23" s="41" t="s">
        <v>32</v>
      </c>
      <c r="J23" s="1"/>
      <c r="AA23" s="43" t="s">
        <v>48</v>
      </c>
      <c r="AB23" s="42" t="s">
        <v>71</v>
      </c>
      <c r="AC23" t="s">
        <v>178</v>
      </c>
      <c r="AD23" t="s">
        <v>179</v>
      </c>
      <c r="AE23" t="s">
        <v>180</v>
      </c>
      <c r="AF23" s="55" t="s">
        <v>67</v>
      </c>
      <c r="AG23" s="41">
        <v>83.54</v>
      </c>
      <c r="AH23" s="80">
        <v>8.0000000000000002E-3</v>
      </c>
      <c r="AI23" s="48">
        <f>AH23/SUM($AH$23:$AH$25)</f>
        <v>0.48484848484848486</v>
      </c>
      <c r="AJ23" s="81">
        <f>AI23*$N$6</f>
        <v>2.8266666666666669E-2</v>
      </c>
      <c r="AK23" s="82">
        <v>2.8266666666666669E-2</v>
      </c>
      <c r="AL23" s="83">
        <f>AK23/$AJ$51</f>
        <v>2.9657608505578283E-2</v>
      </c>
      <c r="AM23" s="84">
        <f t="shared" si="2"/>
        <v>8.7957374227014935E-4</v>
      </c>
    </row>
    <row r="24" spans="1:39">
      <c r="A24">
        <v>23</v>
      </c>
      <c r="B24" t="s">
        <v>181</v>
      </c>
      <c r="C24" t="s">
        <v>182</v>
      </c>
      <c r="D24" t="s">
        <v>183</v>
      </c>
      <c r="E24" s="41">
        <v>84</v>
      </c>
      <c r="F24" s="75">
        <v>8.2000000000000007E-3</v>
      </c>
      <c r="G24" t="s">
        <v>52</v>
      </c>
      <c r="H24" t="s">
        <v>53</v>
      </c>
      <c r="I24" s="41" t="s">
        <v>32</v>
      </c>
      <c r="J24" s="1"/>
      <c r="AA24" s="45"/>
      <c r="AC24" t="s">
        <v>184</v>
      </c>
      <c r="AD24" t="s">
        <v>185</v>
      </c>
      <c r="AE24" t="s">
        <v>186</v>
      </c>
      <c r="AF24" s="55" t="s">
        <v>47</v>
      </c>
      <c r="AG24" s="41">
        <v>86.88</v>
      </c>
      <c r="AH24" s="80">
        <v>6.6E-3</v>
      </c>
      <c r="AI24" s="48">
        <f t="shared" ref="AI24:AI26" si="10">AH24/SUM($AH$23:$AH$25)</f>
        <v>0.39999999999999997</v>
      </c>
      <c r="AJ24" s="81">
        <f>AI24*$N$6</f>
        <v>2.332E-2</v>
      </c>
      <c r="AK24" s="82">
        <v>2.332E-2</v>
      </c>
      <c r="AL24" s="83">
        <f>AK24/$AJ$51</f>
        <v>2.446752701710208E-2</v>
      </c>
      <c r="AM24" s="84">
        <f t="shared" si="2"/>
        <v>5.9865987833262015E-4</v>
      </c>
    </row>
    <row r="25" spans="1:39">
      <c r="A25">
        <v>24</v>
      </c>
      <c r="B25" t="s">
        <v>94</v>
      </c>
      <c r="C25" t="s">
        <v>95</v>
      </c>
      <c r="D25" t="s">
        <v>96</v>
      </c>
      <c r="E25" s="41">
        <v>85.99</v>
      </c>
      <c r="F25" s="75">
        <v>8.0999999999999996E-3</v>
      </c>
      <c r="G25" t="s">
        <v>34</v>
      </c>
      <c r="H25" t="s">
        <v>43</v>
      </c>
      <c r="I25" s="41" t="s">
        <v>32</v>
      </c>
      <c r="J25" s="1"/>
      <c r="AA25" s="45"/>
      <c r="AC25" t="s">
        <v>187</v>
      </c>
      <c r="AD25" t="s">
        <v>188</v>
      </c>
      <c r="AE25" t="s">
        <v>189</v>
      </c>
      <c r="AF25" s="55" t="s">
        <v>190</v>
      </c>
      <c r="AG25" s="41">
        <v>84.65</v>
      </c>
      <c r="AH25" s="80">
        <v>1.9E-3</v>
      </c>
      <c r="AI25" s="48">
        <f t="shared" si="10"/>
        <v>0.11515151515151514</v>
      </c>
      <c r="AJ25" s="81">
        <f>AI25*$N$6</f>
        <v>6.7133333333333333E-3</v>
      </c>
      <c r="AK25" s="82">
        <v>6.7133333333333333E-3</v>
      </c>
      <c r="AL25" s="83">
        <f>AK25/$AJ$51</f>
        <v>7.043682020074841E-3</v>
      </c>
      <c r="AM25" s="84">
        <f t="shared" si="2"/>
        <v>4.9613456399925591E-5</v>
      </c>
    </row>
    <row r="26" spans="1:39">
      <c r="A26">
        <v>25</v>
      </c>
      <c r="B26" t="s">
        <v>178</v>
      </c>
      <c r="C26" t="s">
        <v>179</v>
      </c>
      <c r="D26" t="s">
        <v>180</v>
      </c>
      <c r="E26" s="41">
        <v>83.54</v>
      </c>
      <c r="F26" s="75">
        <v>8.0000000000000002E-3</v>
      </c>
      <c r="G26" t="s">
        <v>48</v>
      </c>
      <c r="H26" t="s">
        <v>71</v>
      </c>
      <c r="I26" s="41" t="s">
        <v>32</v>
      </c>
      <c r="J26" s="1"/>
      <c r="AA26" s="43" t="s">
        <v>59</v>
      </c>
      <c r="AB26" s="42" t="s">
        <v>59</v>
      </c>
      <c r="AC26" t="s">
        <v>60</v>
      </c>
      <c r="AD26" t="s">
        <v>61</v>
      </c>
      <c r="AE26" t="s">
        <v>62</v>
      </c>
      <c r="AF26" s="55" t="s">
        <v>97</v>
      </c>
      <c r="AG26" s="41">
        <v>86.7</v>
      </c>
      <c r="AH26" s="80">
        <v>1.7299999999999999E-2</v>
      </c>
      <c r="AI26" s="48">
        <f>AH26/SUM($AH$26:$AH$29)</f>
        <v>0.34599999999999997</v>
      </c>
      <c r="AJ26" s="81">
        <f>AI26*$N$7</f>
        <v>4.480700000000002E-2</v>
      </c>
      <c r="AK26" s="82">
        <v>4.480700000000002E-2</v>
      </c>
      <c r="AL26" s="83">
        <f>AK26/$AJ$51</f>
        <v>4.701185604868325E-2</v>
      </c>
      <c r="AM26" s="84">
        <f t="shared" si="2"/>
        <v>2.2101146091421157E-3</v>
      </c>
    </row>
    <row r="27" spans="1:39">
      <c r="A27">
        <v>26</v>
      </c>
      <c r="B27" t="s">
        <v>124</v>
      </c>
      <c r="C27" t="s">
        <v>125</v>
      </c>
      <c r="D27" t="s">
        <v>126</v>
      </c>
      <c r="E27" s="41">
        <v>86.79</v>
      </c>
      <c r="F27" s="75">
        <v>7.9000000000000008E-3</v>
      </c>
      <c r="G27" t="s">
        <v>34</v>
      </c>
      <c r="H27" t="s">
        <v>54</v>
      </c>
      <c r="I27" s="41" t="s">
        <v>32</v>
      </c>
      <c r="J27" s="1"/>
      <c r="AA27" s="45"/>
      <c r="AC27" t="s">
        <v>82</v>
      </c>
      <c r="AD27" t="s">
        <v>83</v>
      </c>
      <c r="AE27" t="s">
        <v>84</v>
      </c>
      <c r="AF27" s="55" t="s">
        <v>67</v>
      </c>
      <c r="AG27" s="41">
        <v>94.58</v>
      </c>
      <c r="AH27" s="80">
        <v>1.67E-2</v>
      </c>
      <c r="AI27" s="48">
        <f t="shared" ref="AI27:AI29" si="11">AH27/SUM($AH$26:$AH$29)</f>
        <v>0.33399999999999996</v>
      </c>
      <c r="AJ27" s="81">
        <f>AI27*$N$7</f>
        <v>4.3253000000000014E-2</v>
      </c>
      <c r="AK27" s="82">
        <v>4.3253000000000014E-2</v>
      </c>
      <c r="AL27" s="83">
        <f>AK27/$AJ$51</f>
        <v>4.5381387052775155E-2</v>
      </c>
      <c r="AM27" s="84">
        <f t="shared" si="2"/>
        <v>2.0594702908337884E-3</v>
      </c>
    </row>
    <row r="28" spans="1:39">
      <c r="A28">
        <v>27</v>
      </c>
      <c r="B28" t="s">
        <v>191</v>
      </c>
      <c r="C28" t="s">
        <v>192</v>
      </c>
      <c r="D28" t="s">
        <v>193</v>
      </c>
      <c r="E28" s="41">
        <v>57.1</v>
      </c>
      <c r="F28" s="75">
        <v>7.7000000000000002E-3</v>
      </c>
      <c r="G28" t="s">
        <v>75</v>
      </c>
      <c r="H28" t="s">
        <v>103</v>
      </c>
      <c r="I28" s="41" t="s">
        <v>32</v>
      </c>
      <c r="J28" s="1"/>
      <c r="AA28" s="45"/>
      <c r="AC28" t="s">
        <v>149</v>
      </c>
      <c r="AD28" t="s">
        <v>150</v>
      </c>
      <c r="AE28" s="26" t="s">
        <v>151</v>
      </c>
      <c r="AF28" s="26" t="s">
        <v>47</v>
      </c>
      <c r="AG28" s="41">
        <v>86.05</v>
      </c>
      <c r="AH28" s="80">
        <v>9.7000000000000003E-3</v>
      </c>
      <c r="AI28" s="48">
        <f t="shared" si="11"/>
        <v>0.19400000000000001</v>
      </c>
      <c r="AJ28" s="81">
        <f>AI28*$N$7</f>
        <v>2.5123000000000013E-2</v>
      </c>
      <c r="AK28" s="82">
        <v>2.5123000000000013E-2</v>
      </c>
      <c r="AL28" s="83">
        <f>AK28/$AJ$51</f>
        <v>2.6359248767180786E-2</v>
      </c>
      <c r="AM28" s="84">
        <f t="shared" si="2"/>
        <v>6.9480999557012179E-4</v>
      </c>
    </row>
    <row r="29" spans="1:39">
      <c r="A29">
        <v>28</v>
      </c>
      <c r="B29" t="s">
        <v>44</v>
      </c>
      <c r="C29" t="s">
        <v>45</v>
      </c>
      <c r="D29" t="s">
        <v>46</v>
      </c>
      <c r="E29" s="41">
        <v>92.51</v>
      </c>
      <c r="F29" s="75">
        <v>7.4000000000000003E-3</v>
      </c>
      <c r="G29" t="s">
        <v>34</v>
      </c>
      <c r="H29" t="s">
        <v>33</v>
      </c>
      <c r="I29" s="41" t="s">
        <v>32</v>
      </c>
      <c r="J29" s="1"/>
      <c r="AA29" s="45"/>
      <c r="AC29" t="s">
        <v>194</v>
      </c>
      <c r="AD29" t="s">
        <v>195</v>
      </c>
      <c r="AE29" t="s">
        <v>196</v>
      </c>
      <c r="AF29" s="55" t="s">
        <v>67</v>
      </c>
      <c r="AG29" s="41">
        <v>89.49</v>
      </c>
      <c r="AH29" s="80">
        <v>6.3E-3</v>
      </c>
      <c r="AI29" s="48">
        <f>AH29/SUM($AH$26:$AH$29)</f>
        <v>0.126</v>
      </c>
      <c r="AJ29" s="81">
        <f>AI29*$N$7</f>
        <v>1.6317000000000009E-2</v>
      </c>
      <c r="AK29" s="82">
        <v>1.6317000000000009E-2</v>
      </c>
      <c r="AL29" s="83">
        <f>AK29/$AJ$51</f>
        <v>1.7119924457034943E-2</v>
      </c>
      <c r="AM29" s="84">
        <f t="shared" si="2"/>
        <v>2.9309181341458318E-4</v>
      </c>
    </row>
    <row r="30" spans="1:39">
      <c r="A30">
        <v>29</v>
      </c>
      <c r="B30" t="s">
        <v>197</v>
      </c>
      <c r="C30" t="s">
        <v>198</v>
      </c>
      <c r="D30" t="s">
        <v>199</v>
      </c>
      <c r="E30" s="41">
        <v>63.17</v>
      </c>
      <c r="F30" s="75">
        <v>7.4999999999999997E-3</v>
      </c>
      <c r="G30" t="s">
        <v>75</v>
      </c>
      <c r="H30" t="s">
        <v>103</v>
      </c>
      <c r="I30" s="41" t="s">
        <v>32</v>
      </c>
      <c r="J30" s="1"/>
      <c r="AA30" s="43" t="s">
        <v>52</v>
      </c>
      <c r="AB30" s="42" t="s">
        <v>53</v>
      </c>
      <c r="AC30" t="s">
        <v>49</v>
      </c>
      <c r="AD30" t="s">
        <v>50</v>
      </c>
      <c r="AE30" t="s">
        <v>51</v>
      </c>
      <c r="AF30" s="55" t="s">
        <v>97</v>
      </c>
      <c r="AG30" s="41">
        <v>88.03</v>
      </c>
      <c r="AH30" s="80">
        <v>2.1899999999999999E-2</v>
      </c>
      <c r="AI30" s="48">
        <f>AH30/SUM($AH$30:$AH$33)</f>
        <v>0.46595744680851064</v>
      </c>
      <c r="AJ30" s="81">
        <f>AI30*$N$8</f>
        <v>4.1936170212765966E-2</v>
      </c>
      <c r="AK30" s="82">
        <v>4.1936170212765966E-2</v>
      </c>
      <c r="AL30" s="83">
        <f>AK30/$AJ$51</f>
        <v>4.3999758905430654E-2</v>
      </c>
      <c r="AM30" s="84">
        <f t="shared" si="2"/>
        <v>1.9359787837360241E-3</v>
      </c>
    </row>
    <row r="31" spans="1:39">
      <c r="A31">
        <v>30</v>
      </c>
      <c r="B31" t="s">
        <v>55</v>
      </c>
      <c r="C31" t="s">
        <v>56</v>
      </c>
      <c r="D31" t="s">
        <v>57</v>
      </c>
      <c r="E31" s="41">
        <v>91.93</v>
      </c>
      <c r="F31" s="75">
        <v>6.6E-3</v>
      </c>
      <c r="G31" t="s">
        <v>34</v>
      </c>
      <c r="H31" t="s">
        <v>33</v>
      </c>
      <c r="I31" s="41" t="s">
        <v>32</v>
      </c>
      <c r="J31" s="1"/>
      <c r="AA31" s="45"/>
      <c r="AC31" t="s">
        <v>116</v>
      </c>
      <c r="AD31" t="s">
        <v>117</v>
      </c>
      <c r="AE31" t="s">
        <v>118</v>
      </c>
      <c r="AF31" s="55" t="s">
        <v>67</v>
      </c>
      <c r="AG31" s="41">
        <v>86.73</v>
      </c>
      <c r="AH31" s="80">
        <v>1.2699999999999999E-2</v>
      </c>
      <c r="AI31" s="48">
        <f>AH31/SUM($AH$30:$AH$33)</f>
        <v>0.27021276595744681</v>
      </c>
      <c r="AJ31" s="81">
        <f>AI31*$N$8</f>
        <v>2.4319148936170217E-2</v>
      </c>
      <c r="AK31" s="82">
        <v>2.4319148936170217E-2</v>
      </c>
      <c r="AL31" s="83">
        <f>AK31/$AJ$51</f>
        <v>2.5515841922327361E-2</v>
      </c>
      <c r="AM31" s="84">
        <f t="shared" si="2"/>
        <v>6.5105818900519847E-4</v>
      </c>
    </row>
    <row r="32" spans="1:39">
      <c r="A32">
        <v>31</v>
      </c>
      <c r="B32" t="s">
        <v>104</v>
      </c>
      <c r="C32" t="s">
        <v>105</v>
      </c>
      <c r="D32" t="s">
        <v>106</v>
      </c>
      <c r="E32" s="41">
        <v>83.45</v>
      </c>
      <c r="F32" s="75">
        <v>7.1999999999999998E-3</v>
      </c>
      <c r="G32" t="s">
        <v>34</v>
      </c>
      <c r="H32" t="s">
        <v>43</v>
      </c>
      <c r="I32" s="41" t="s">
        <v>32</v>
      </c>
      <c r="J32" s="1"/>
      <c r="AA32" s="45"/>
      <c r="AC32" t="s">
        <v>181</v>
      </c>
      <c r="AD32" t="s">
        <v>182</v>
      </c>
      <c r="AE32" t="s">
        <v>183</v>
      </c>
      <c r="AF32" s="55" t="s">
        <v>47</v>
      </c>
      <c r="AG32" s="41">
        <v>84</v>
      </c>
      <c r="AH32" s="80">
        <v>8.2000000000000007E-3</v>
      </c>
      <c r="AI32" s="48">
        <f>AH32/SUM($AH$30:$AH$33)</f>
        <v>0.17446808510638298</v>
      </c>
      <c r="AJ32" s="81">
        <f>AI32*$N$8</f>
        <v>1.5702127659574471E-2</v>
      </c>
      <c r="AK32" s="82">
        <v>1.5702127659574471E-2</v>
      </c>
      <c r="AL32" s="83">
        <f>AK32/$AJ$51</f>
        <v>1.6474795571896409E-2</v>
      </c>
      <c r="AM32" s="84">
        <f t="shared" si="2"/>
        <v>2.7141888913577753E-4</v>
      </c>
    </row>
    <row r="33" spans="1:39">
      <c r="A33">
        <v>32</v>
      </c>
      <c r="B33" t="s">
        <v>200</v>
      </c>
      <c r="C33" t="s">
        <v>201</v>
      </c>
      <c r="D33" t="s">
        <v>202</v>
      </c>
      <c r="E33" s="41">
        <v>71.45</v>
      </c>
      <c r="F33" s="75">
        <v>7.1000000000000004E-3</v>
      </c>
      <c r="G33" t="s">
        <v>48</v>
      </c>
      <c r="H33" t="s">
        <v>63</v>
      </c>
      <c r="I33" s="41" t="s">
        <v>32</v>
      </c>
      <c r="J33" s="1"/>
      <c r="AA33" s="45"/>
      <c r="AC33" t="s">
        <v>203</v>
      </c>
      <c r="AD33" t="s">
        <v>204</v>
      </c>
      <c r="AE33" t="s">
        <v>205</v>
      </c>
      <c r="AF33" s="55" t="s">
        <v>47</v>
      </c>
      <c r="AG33" s="41">
        <v>92.82</v>
      </c>
      <c r="AH33" s="80">
        <v>4.1999999999999997E-3</v>
      </c>
      <c r="AI33" s="48">
        <f>AH33/SUM($AH$30:$AH$33)</f>
        <v>8.9361702127659565E-2</v>
      </c>
      <c r="AJ33" s="81">
        <f>AI33*$N$8</f>
        <v>8.0425531914893617E-3</v>
      </c>
      <c r="AK33" s="82">
        <v>8.0425531914893617E-3</v>
      </c>
      <c r="AL33" s="83">
        <f>AK33/$AJ$51</f>
        <v>8.4383099270688901E-3</v>
      </c>
      <c r="AM33" s="84">
        <f t="shared" si="2"/>
        <v>7.120507442526938E-5</v>
      </c>
    </row>
    <row r="34" spans="1:39">
      <c r="A34">
        <v>33</v>
      </c>
      <c r="B34" t="s">
        <v>155</v>
      </c>
      <c r="C34" t="s">
        <v>156</v>
      </c>
      <c r="D34" t="s">
        <v>157</v>
      </c>
      <c r="E34" s="41">
        <v>90.42</v>
      </c>
      <c r="F34" s="75">
        <v>6.8999999999999999E-3</v>
      </c>
      <c r="G34" t="s">
        <v>48</v>
      </c>
      <c r="H34" t="s">
        <v>63</v>
      </c>
      <c r="I34" s="41" t="s">
        <v>32</v>
      </c>
      <c r="J34" s="1"/>
      <c r="AA34" s="43" t="s">
        <v>52</v>
      </c>
      <c r="AB34" s="42" t="s">
        <v>93</v>
      </c>
      <c r="AC34" t="s">
        <v>206</v>
      </c>
      <c r="AD34" t="s">
        <v>207</v>
      </c>
      <c r="AE34" t="s">
        <v>208</v>
      </c>
      <c r="AF34" s="55" t="s">
        <v>190</v>
      </c>
      <c r="AG34" s="41">
        <v>85.83</v>
      </c>
      <c r="AH34" s="80">
        <v>3.0000000000000001E-3</v>
      </c>
      <c r="AI34" s="48">
        <f>AH34/SUM($AH$34)</f>
        <v>1</v>
      </c>
      <c r="AJ34" s="81">
        <f>AI34*$N$9</f>
        <v>1.0400000000000003E-2</v>
      </c>
      <c r="AK34" s="82">
        <v>1.0400000000000003E-2</v>
      </c>
      <c r="AL34" s="83">
        <f>AK34/$AJ$51</f>
        <v>1.0911761619976918E-2</v>
      </c>
      <c r="AM34" s="84">
        <f t="shared" si="2"/>
        <v>1.1906654165120128E-4</v>
      </c>
    </row>
    <row r="35" spans="1:39">
      <c r="A35">
        <v>34</v>
      </c>
      <c r="B35" t="s">
        <v>209</v>
      </c>
      <c r="C35" t="s">
        <v>210</v>
      </c>
      <c r="D35" t="s">
        <v>211</v>
      </c>
      <c r="E35" s="41">
        <v>79.16</v>
      </c>
      <c r="F35" s="75">
        <v>6.8999999999999999E-3</v>
      </c>
      <c r="G35" t="s">
        <v>34</v>
      </c>
      <c r="H35" t="s">
        <v>43</v>
      </c>
      <c r="I35" s="41" t="s">
        <v>32</v>
      </c>
      <c r="J35" s="1"/>
      <c r="AA35" s="43" t="s">
        <v>75</v>
      </c>
      <c r="AB35" s="42" t="s">
        <v>103</v>
      </c>
      <c r="AC35" t="s">
        <v>212</v>
      </c>
      <c r="AD35" t="s">
        <v>213</v>
      </c>
      <c r="AE35" t="s">
        <v>214</v>
      </c>
      <c r="AF35" s="55" t="s">
        <v>88</v>
      </c>
      <c r="AG35" s="41">
        <v>89.92</v>
      </c>
      <c r="AH35" s="80">
        <v>3.3E-3</v>
      </c>
      <c r="AI35" s="48">
        <f>AH35/SUM($AH$35:$AH$36)</f>
        <v>0.5</v>
      </c>
      <c r="AJ35" s="81">
        <f>AI35*$N$10</f>
        <v>2.8049999999999995E-2</v>
      </c>
      <c r="AK35" s="82">
        <v>2.8049999999999995E-2</v>
      </c>
      <c r="AL35" s="83">
        <f>AK35/$AJ$51</f>
        <v>2.9430280138495423E-2</v>
      </c>
      <c r="AM35" s="84">
        <f t="shared" si="2"/>
        <v>8.6614138903031823E-4</v>
      </c>
    </row>
    <row r="36" spans="1:39">
      <c r="A36">
        <v>35</v>
      </c>
      <c r="B36" t="s">
        <v>159</v>
      </c>
      <c r="C36" t="s">
        <v>160</v>
      </c>
      <c r="D36" t="s">
        <v>161</v>
      </c>
      <c r="E36" s="41">
        <v>84.02</v>
      </c>
      <c r="F36" s="75">
        <v>6.7000000000000002E-3</v>
      </c>
      <c r="G36" t="s">
        <v>48</v>
      </c>
      <c r="H36" t="s">
        <v>63</v>
      </c>
      <c r="I36" s="41" t="s">
        <v>32</v>
      </c>
      <c r="J36" s="1"/>
      <c r="AA36" s="45"/>
      <c r="AC36" t="s">
        <v>215</v>
      </c>
      <c r="AD36" t="s">
        <v>216</v>
      </c>
      <c r="AE36" t="s">
        <v>217</v>
      </c>
      <c r="AF36" s="55" t="s">
        <v>88</v>
      </c>
      <c r="AG36" s="41">
        <v>91.49</v>
      </c>
      <c r="AH36" s="80">
        <v>3.3E-3</v>
      </c>
      <c r="AI36" s="48">
        <f>AH36/SUM($AH$35:$AH$36)</f>
        <v>0.5</v>
      </c>
      <c r="AJ36" s="81">
        <f>AI36*$N$10</f>
        <v>2.8049999999999995E-2</v>
      </c>
      <c r="AK36" s="82">
        <v>2.8049999999999995E-2</v>
      </c>
      <c r="AL36" s="83">
        <f>AK36/$AJ$51</f>
        <v>2.9430280138495423E-2</v>
      </c>
      <c r="AM36" s="84">
        <f t="shared" si="2"/>
        <v>8.6614138903031823E-4</v>
      </c>
    </row>
    <row r="37" spans="1:39">
      <c r="A37">
        <v>36</v>
      </c>
      <c r="B37" t="s">
        <v>218</v>
      </c>
      <c r="C37" t="s">
        <v>219</v>
      </c>
      <c r="D37" t="s">
        <v>220</v>
      </c>
      <c r="E37" s="41">
        <v>68.16</v>
      </c>
      <c r="F37" s="75">
        <v>6.7000000000000002E-3</v>
      </c>
      <c r="G37" t="s">
        <v>59</v>
      </c>
      <c r="H37" t="s">
        <v>59</v>
      </c>
      <c r="I37" s="41" t="s">
        <v>102</v>
      </c>
      <c r="J37" s="1"/>
      <c r="AA37" s="43" t="s">
        <v>75</v>
      </c>
      <c r="AB37" s="42" t="s">
        <v>111</v>
      </c>
      <c r="AC37" t="s">
        <v>221</v>
      </c>
      <c r="AD37" t="s">
        <v>222</v>
      </c>
      <c r="AE37" t="s">
        <v>223</v>
      </c>
      <c r="AF37" s="55" t="s">
        <v>58</v>
      </c>
      <c r="AG37" s="41">
        <v>75.88</v>
      </c>
      <c r="AH37" s="80">
        <v>4.5999999999999999E-3</v>
      </c>
      <c r="AI37" s="48">
        <f>AH37/SUM($AH$37)</f>
        <v>1</v>
      </c>
      <c r="AJ37" s="81">
        <f>AI37*$N$11</f>
        <v>1.4499999999999996E-2</v>
      </c>
      <c r="AK37" s="82">
        <v>1.4499999999999996E-2</v>
      </c>
      <c r="AL37" s="83">
        <f>AK37/$AJ$51</f>
        <v>1.5213513797083193E-2</v>
      </c>
      <c r="AM37" s="84">
        <f t="shared" si="2"/>
        <v>2.3145100205404067E-4</v>
      </c>
    </row>
    <row r="38" spans="1:39">
      <c r="A38">
        <v>37</v>
      </c>
      <c r="B38" t="s">
        <v>184</v>
      </c>
      <c r="C38" t="s">
        <v>185</v>
      </c>
      <c r="D38" t="s">
        <v>186</v>
      </c>
      <c r="E38" s="41">
        <v>86.88</v>
      </c>
      <c r="F38" s="75">
        <v>6.6E-3</v>
      </c>
      <c r="G38" t="s">
        <v>48</v>
      </c>
      <c r="H38" t="s">
        <v>71</v>
      </c>
      <c r="I38" s="41" t="s">
        <v>32</v>
      </c>
      <c r="J38" s="1"/>
      <c r="AA38" s="43" t="s">
        <v>75</v>
      </c>
      <c r="AB38" s="42" t="s">
        <v>119</v>
      </c>
      <c r="AC38" t="s">
        <v>224</v>
      </c>
      <c r="AD38" t="s">
        <v>225</v>
      </c>
      <c r="AE38" t="s">
        <v>226</v>
      </c>
      <c r="AF38" s="55" t="s">
        <v>58</v>
      </c>
      <c r="AG38" s="41">
        <v>88.36</v>
      </c>
      <c r="AH38" s="80">
        <v>2.7000000000000001E-3</v>
      </c>
      <c r="AI38" s="48">
        <f>AH38/SUM($AH$38)</f>
        <v>1</v>
      </c>
      <c r="AJ38" s="81">
        <f>AI38*$N$12</f>
        <v>8.2000000000000007E-3</v>
      </c>
      <c r="AK38" s="82">
        <v>8.2000000000000007E-3</v>
      </c>
      <c r="AL38" s="83">
        <f>AK38/$AJ$51</f>
        <v>8.6035043542125669E-3</v>
      </c>
      <c r="AM38" s="84">
        <f t="shared" si="2"/>
        <v>7.4020287172954605E-5</v>
      </c>
    </row>
    <row r="39" spans="1:39">
      <c r="A39">
        <v>38</v>
      </c>
      <c r="B39" t="s">
        <v>227</v>
      </c>
      <c r="C39" t="s">
        <v>228</v>
      </c>
      <c r="D39" t="s">
        <v>229</v>
      </c>
      <c r="E39" s="41">
        <v>89.58</v>
      </c>
      <c r="F39" s="75">
        <v>1.2999999999999999E-3</v>
      </c>
      <c r="G39" t="s">
        <v>34</v>
      </c>
      <c r="H39" t="s">
        <v>33</v>
      </c>
      <c r="I39" s="41" t="s">
        <v>32</v>
      </c>
      <c r="J39" s="1"/>
      <c r="AA39" s="43" t="s">
        <v>30</v>
      </c>
      <c r="AB39" s="42" t="s">
        <v>42</v>
      </c>
      <c r="AC39" t="s">
        <v>39</v>
      </c>
      <c r="AD39" t="s">
        <v>40</v>
      </c>
      <c r="AE39" t="s">
        <v>41</v>
      </c>
      <c r="AF39" s="55" t="s">
        <v>190</v>
      </c>
      <c r="AG39" s="94">
        <v>74.400000000000006</v>
      </c>
      <c r="AH39" s="80">
        <v>2.1999999999999999E-2</v>
      </c>
      <c r="AI39" s="48">
        <f>AH39/SUM($AH$39:$AH$40)</f>
        <v>0.859375</v>
      </c>
      <c r="AJ39" s="81">
        <f>AI39*$N$13</f>
        <v>3.0851562499999995E-2</v>
      </c>
      <c r="AK39" s="82">
        <v>3.0851562499999995E-2</v>
      </c>
      <c r="AL39" s="83">
        <f>AK39/$AJ$51</f>
        <v>3.2369701500367207E-2</v>
      </c>
      <c r="AM39" s="84">
        <f t="shared" si="2"/>
        <v>1.047797575222875E-3</v>
      </c>
    </row>
    <row r="40" spans="1:39">
      <c r="A40">
        <v>39</v>
      </c>
      <c r="B40" t="s">
        <v>230</v>
      </c>
      <c r="C40" t="s">
        <v>231</v>
      </c>
      <c r="F40" s="75">
        <v>6.6E-3</v>
      </c>
      <c r="G40" t="s">
        <v>52</v>
      </c>
      <c r="H40" t="s">
        <v>53</v>
      </c>
      <c r="I40" s="41" t="s">
        <v>102</v>
      </c>
      <c r="J40" s="1"/>
      <c r="AA40" s="45"/>
      <c r="AC40" t="s">
        <v>232</v>
      </c>
      <c r="AD40" t="s">
        <v>233</v>
      </c>
      <c r="AE40" t="s">
        <v>234</v>
      </c>
      <c r="AF40" s="55" t="s">
        <v>88</v>
      </c>
      <c r="AG40" s="94">
        <v>76.83</v>
      </c>
      <c r="AH40" s="80">
        <v>3.5999999999999999E-3</v>
      </c>
      <c r="AI40" s="48">
        <f>AH40/SUM($AH$39:$AH$40)</f>
        <v>0.140625</v>
      </c>
      <c r="AJ40" s="81">
        <f>AI40*$N$13</f>
        <v>5.0484374999999991E-3</v>
      </c>
      <c r="AK40" s="82">
        <v>5.0484374999999991E-3</v>
      </c>
      <c r="AL40" s="83">
        <f>AK40/$AJ$51</f>
        <v>5.2968602455146343E-3</v>
      </c>
      <c r="AM40" s="84">
        <f t="shared" si="2"/>
        <v>2.805672846051335E-5</v>
      </c>
    </row>
    <row r="41" spans="1:39">
      <c r="A41">
        <v>40</v>
      </c>
      <c r="B41" t="s">
        <v>235</v>
      </c>
      <c r="C41" t="s">
        <v>236</v>
      </c>
      <c r="F41" s="75">
        <v>6.4000000000000003E-3</v>
      </c>
      <c r="G41" t="s">
        <v>98</v>
      </c>
      <c r="H41" t="s">
        <v>101</v>
      </c>
      <c r="I41" s="41" t="s">
        <v>102</v>
      </c>
      <c r="J41" s="1"/>
      <c r="AA41" s="43" t="s">
        <v>30</v>
      </c>
      <c r="AB41" s="42" t="s">
        <v>31</v>
      </c>
      <c r="AC41" t="s">
        <v>27</v>
      </c>
      <c r="AD41" t="s">
        <v>28</v>
      </c>
      <c r="AE41" t="s">
        <v>29</v>
      </c>
      <c r="AF41" s="55" t="s">
        <v>88</v>
      </c>
      <c r="AG41" s="41">
        <v>86.71</v>
      </c>
      <c r="AH41" s="80">
        <v>2.3699999999999999E-2</v>
      </c>
      <c r="AI41" s="48">
        <f>AH41/SUM($AH$41)</f>
        <v>1</v>
      </c>
      <c r="AJ41" s="81">
        <f>AI41*$N$14</f>
        <v>3.2899999999999999E-2</v>
      </c>
      <c r="AK41" s="82">
        <v>3.2899999999999999E-2</v>
      </c>
      <c r="AL41" s="83">
        <f>AK41/$AJ$51</f>
        <v>3.4518938201657738E-2</v>
      </c>
      <c r="AM41" s="84">
        <f t="shared" si="2"/>
        <v>1.191557094569866E-3</v>
      </c>
    </row>
    <row r="42" spans="1:39">
      <c r="A42">
        <v>41</v>
      </c>
      <c r="B42" t="s">
        <v>194</v>
      </c>
      <c r="C42" t="s">
        <v>195</v>
      </c>
      <c r="D42" t="s">
        <v>196</v>
      </c>
      <c r="E42" s="41">
        <v>89.49</v>
      </c>
      <c r="F42" s="75">
        <v>6.3E-3</v>
      </c>
      <c r="G42" t="s">
        <v>59</v>
      </c>
      <c r="H42" t="s">
        <v>59</v>
      </c>
      <c r="I42" s="41" t="s">
        <v>32</v>
      </c>
      <c r="J42" s="1"/>
      <c r="AA42" s="43" t="s">
        <v>89</v>
      </c>
      <c r="AB42" s="42" t="s">
        <v>89</v>
      </c>
      <c r="AC42" t="s">
        <v>237</v>
      </c>
      <c r="AD42" t="s">
        <v>238</v>
      </c>
      <c r="AE42" t="s">
        <v>239</v>
      </c>
      <c r="AF42" s="55" t="s">
        <v>47</v>
      </c>
      <c r="AG42" s="71">
        <v>88.27</v>
      </c>
      <c r="AH42" s="85">
        <v>4.4000000000000003E-3</v>
      </c>
      <c r="AI42" s="48">
        <f>AH42/SUM($AH$42:$AH$43)</f>
        <v>0.56410256410256421</v>
      </c>
      <c r="AJ42" s="81">
        <f>AI42*$N$15</f>
        <v>3.553846153846154E-2</v>
      </c>
      <c r="AK42" s="82">
        <v>3.553846153846154E-2</v>
      </c>
      <c r="AL42" s="83">
        <f>AK42/$AJ$51</f>
        <v>3.7287232754654842E-2</v>
      </c>
      <c r="AM42" s="84">
        <f>AL42^2</f>
        <v>1.3903377264998049E-3</v>
      </c>
    </row>
    <row r="43" spans="1:39">
      <c r="A43">
        <v>42</v>
      </c>
      <c r="B43" t="s">
        <v>240</v>
      </c>
      <c r="C43" t="s">
        <v>241</v>
      </c>
      <c r="D43" t="s">
        <v>242</v>
      </c>
      <c r="E43" s="41">
        <v>89.09</v>
      </c>
      <c r="F43" s="75">
        <v>2.3E-3</v>
      </c>
      <c r="G43" t="s">
        <v>34</v>
      </c>
      <c r="H43" t="s">
        <v>33</v>
      </c>
      <c r="I43" s="41" t="s">
        <v>32</v>
      </c>
      <c r="J43" s="1"/>
      <c r="AC43" t="s">
        <v>243</v>
      </c>
      <c r="AD43" t="s">
        <v>244</v>
      </c>
      <c r="AE43" s="26" t="s">
        <v>245</v>
      </c>
      <c r="AF43" s="55" t="s">
        <v>88</v>
      </c>
      <c r="AG43" s="71">
        <v>88.14</v>
      </c>
      <c r="AH43" s="48">
        <v>3.3999999999999998E-3</v>
      </c>
      <c r="AI43" s="48">
        <f>AH43/SUM($AH$42:$AH$43)</f>
        <v>0.4358974358974359</v>
      </c>
      <c r="AJ43" s="81">
        <f>AI43*$N$15</f>
        <v>2.7461538461538457E-2</v>
      </c>
      <c r="AK43" s="82">
        <v>2.7461538461538457E-2</v>
      </c>
      <c r="AL43" s="83">
        <f>AK43/$AJ$51</f>
        <v>2.8812861674051463E-2</v>
      </c>
      <c r="AM43" s="84">
        <f>AL43^2</f>
        <v>8.3018099784802363E-4</v>
      </c>
    </row>
    <row r="44" spans="1:39">
      <c r="A44">
        <v>43</v>
      </c>
      <c r="B44" t="s">
        <v>130</v>
      </c>
      <c r="C44" t="s">
        <v>131</v>
      </c>
      <c r="D44" t="s">
        <v>132</v>
      </c>
      <c r="E44" s="41">
        <v>73.69</v>
      </c>
      <c r="F44" s="75">
        <v>6.1000000000000004E-3</v>
      </c>
      <c r="G44" t="s">
        <v>34</v>
      </c>
      <c r="H44" t="s">
        <v>54</v>
      </c>
      <c r="I44" s="41" t="s">
        <v>32</v>
      </c>
      <c r="J44" s="1"/>
      <c r="AA44" s="43" t="s">
        <v>98</v>
      </c>
      <c r="AB44" s="42" t="s">
        <v>148</v>
      </c>
      <c r="AC44" t="s">
        <v>246</v>
      </c>
      <c r="AD44" t="s">
        <v>247</v>
      </c>
      <c r="AE44" t="s">
        <v>248</v>
      </c>
      <c r="AF44" s="55" t="s">
        <v>249</v>
      </c>
      <c r="AG44" s="41">
        <v>69.03</v>
      </c>
      <c r="AH44" s="80">
        <v>1.1999999999999999E-3</v>
      </c>
      <c r="AI44" s="48">
        <f>AH44/SUM($AH$44)</f>
        <v>1</v>
      </c>
      <c r="AJ44" s="81">
        <f>AI44*$N$17</f>
        <v>1.1999999999999999E-3</v>
      </c>
      <c r="AK44" s="82">
        <v>1.1999999999999999E-3</v>
      </c>
      <c r="AL44" s="83">
        <f>AK44/$AJ$51</f>
        <v>1.2590494176896439E-3</v>
      </c>
      <c r="AM44" s="84">
        <f>AL44^2</f>
        <v>1.5852054361846313E-6</v>
      </c>
    </row>
    <row r="45" spans="1:39">
      <c r="A45">
        <v>44</v>
      </c>
      <c r="B45" t="s">
        <v>250</v>
      </c>
      <c r="C45" t="s">
        <v>251</v>
      </c>
      <c r="D45" s="26" t="s">
        <v>252</v>
      </c>
      <c r="E45" s="73">
        <v>70.84</v>
      </c>
      <c r="F45" s="75">
        <v>5.7000000000000002E-3</v>
      </c>
      <c r="G45" t="s">
        <v>107</v>
      </c>
      <c r="H45" t="s">
        <v>107</v>
      </c>
      <c r="I45" s="41" t="s">
        <v>32</v>
      </c>
      <c r="J45" s="1"/>
      <c r="AA45" s="43" t="s">
        <v>107</v>
      </c>
      <c r="AB45" s="42" t="s">
        <v>107</v>
      </c>
      <c r="AC45" t="s">
        <v>175</v>
      </c>
      <c r="AD45" t="s">
        <v>176</v>
      </c>
      <c r="AE45" s="26" t="s">
        <v>177</v>
      </c>
      <c r="AF45" s="26" t="s">
        <v>58</v>
      </c>
      <c r="AG45" s="41">
        <v>85.52</v>
      </c>
      <c r="AH45" s="80">
        <v>8.2000000000000007E-3</v>
      </c>
      <c r="AI45" s="48">
        <f>AH45/SUM($AH$45:$AH$46)</f>
        <v>0.6029411764705882</v>
      </c>
      <c r="AJ45" s="81">
        <f>AI45*$N$18</f>
        <v>2.5263235294117652E-2</v>
      </c>
      <c r="AK45" s="82">
        <v>2.5263235294117652E-2</v>
      </c>
      <c r="AL45" s="83">
        <f>AK45/$AJ$51</f>
        <v>2.6506384738346076E-2</v>
      </c>
      <c r="AM45" s="84">
        <f>AL45^2</f>
        <v>7.0258843189722575E-4</v>
      </c>
    </row>
    <row r="46" spans="1:39">
      <c r="A46">
        <v>45</v>
      </c>
      <c r="B46" t="s">
        <v>253</v>
      </c>
      <c r="C46" t="s">
        <v>254</v>
      </c>
      <c r="D46" t="s">
        <v>255</v>
      </c>
      <c r="E46" s="41">
        <v>74.540000000000006</v>
      </c>
      <c r="F46" s="75">
        <v>5.5999999999999999E-3</v>
      </c>
      <c r="G46" t="s">
        <v>52</v>
      </c>
      <c r="H46" t="s">
        <v>53</v>
      </c>
      <c r="I46" s="41" t="s">
        <v>32</v>
      </c>
      <c r="J46" s="1"/>
      <c r="AA46" s="45"/>
      <c r="AC46" t="s">
        <v>256</v>
      </c>
      <c r="AD46" t="s">
        <v>257</v>
      </c>
      <c r="AE46" s="26" t="s">
        <v>258</v>
      </c>
      <c r="AF46" s="26" t="s">
        <v>38</v>
      </c>
      <c r="AG46" s="41">
        <v>88.75</v>
      </c>
      <c r="AH46" s="80">
        <v>5.4000000000000003E-3</v>
      </c>
      <c r="AI46" s="48">
        <f>AH46/SUM($AH$45:$AH$46)</f>
        <v>0.39705882352941174</v>
      </c>
      <c r="AJ46" s="81">
        <f>AI46*$N$18</f>
        <v>1.6636764705882358E-2</v>
      </c>
      <c r="AK46" s="82">
        <v>1.6636764705882358E-2</v>
      </c>
      <c r="AL46" s="83">
        <f>AK46/$AJ$51</f>
        <v>1.7455424095984003E-2</v>
      </c>
      <c r="AM46" s="84">
        <f>AL46^2</f>
        <v>3.0469183037065895E-4</v>
      </c>
    </row>
    <row r="47" spans="1:39">
      <c r="A47">
        <v>46</v>
      </c>
      <c r="B47" t="s">
        <v>256</v>
      </c>
      <c r="C47" t="s">
        <v>257</v>
      </c>
      <c r="D47" s="26" t="s">
        <v>258</v>
      </c>
      <c r="E47" s="73">
        <v>88.75</v>
      </c>
      <c r="F47" s="75">
        <v>5.4000000000000003E-3</v>
      </c>
      <c r="G47" t="s">
        <v>107</v>
      </c>
      <c r="H47" t="s">
        <v>107</v>
      </c>
      <c r="I47" s="41" t="s">
        <v>32</v>
      </c>
      <c r="J47" s="1"/>
      <c r="AA47" s="43" t="s">
        <v>115</v>
      </c>
      <c r="AB47" s="42" t="s">
        <v>147</v>
      </c>
      <c r="AC47" t="s">
        <v>144</v>
      </c>
      <c r="AD47" t="s">
        <v>145</v>
      </c>
      <c r="AE47" t="s">
        <v>146</v>
      </c>
      <c r="AF47" s="55" t="s">
        <v>88</v>
      </c>
      <c r="AG47" s="94">
        <v>80.55</v>
      </c>
      <c r="AH47" s="80">
        <v>1.04E-2</v>
      </c>
      <c r="AI47" s="48">
        <f>AH47/SUM($AH$47)</f>
        <v>1</v>
      </c>
      <c r="AJ47" s="81">
        <f>AI47*$N$19</f>
        <v>2.3200000000000002E-2</v>
      </c>
      <c r="AK47" s="82">
        <v>2.3200000000000002E-2</v>
      </c>
      <c r="AL47" s="83">
        <f>AK47/$AJ$51</f>
        <v>2.4341622075333118E-2</v>
      </c>
      <c r="AM47" s="84">
        <f>AL47^2</f>
        <v>5.9251456525834462E-4</v>
      </c>
    </row>
    <row r="48" spans="1:39">
      <c r="A48">
        <v>47</v>
      </c>
      <c r="B48" t="s">
        <v>259</v>
      </c>
      <c r="C48" t="s">
        <v>260</v>
      </c>
      <c r="F48" s="75">
        <v>5.4000000000000003E-3</v>
      </c>
      <c r="G48" t="s">
        <v>48</v>
      </c>
      <c r="H48" t="s">
        <v>63</v>
      </c>
      <c r="I48" s="41" t="s">
        <v>102</v>
      </c>
      <c r="J48" s="1"/>
      <c r="AA48" s="43" t="s">
        <v>115</v>
      </c>
      <c r="AB48" s="42" t="s">
        <v>158</v>
      </c>
      <c r="AC48" t="s">
        <v>261</v>
      </c>
      <c r="AD48" t="s">
        <v>262</v>
      </c>
      <c r="AE48" t="s">
        <v>263</v>
      </c>
      <c r="AF48" s="55" t="s">
        <v>47</v>
      </c>
      <c r="AG48" s="41">
        <v>81.77</v>
      </c>
      <c r="AH48" s="80">
        <v>1.9E-3</v>
      </c>
      <c r="AI48" s="48">
        <f>AH48/SUM($AH$48)</f>
        <v>1</v>
      </c>
      <c r="AJ48" s="81">
        <f>AI48*$N$20</f>
        <v>1.5999999999999997E-2</v>
      </c>
      <c r="AK48" s="82">
        <v>1.5999999999999997E-2</v>
      </c>
      <c r="AL48" s="83">
        <f>AK48/$AJ$51</f>
        <v>1.6787325569195249E-2</v>
      </c>
      <c r="AM48" s="84">
        <f>AL48^2</f>
        <v>2.8181429976615658E-4</v>
      </c>
    </row>
    <row r="49" spans="1:40">
      <c r="A49">
        <v>48</v>
      </c>
      <c r="B49" t="s">
        <v>64</v>
      </c>
      <c r="C49" t="s">
        <v>65</v>
      </c>
      <c r="D49" t="s">
        <v>66</v>
      </c>
      <c r="E49" s="41">
        <v>86.1</v>
      </c>
      <c r="F49" s="75">
        <v>4.5999999999999999E-3</v>
      </c>
      <c r="G49" t="s">
        <v>34</v>
      </c>
      <c r="H49" t="s">
        <v>33</v>
      </c>
      <c r="I49" s="41" t="s">
        <v>32</v>
      </c>
      <c r="J49" s="1"/>
      <c r="AA49" s="43" t="s">
        <v>123</v>
      </c>
      <c r="AB49" s="42" t="s">
        <v>123</v>
      </c>
      <c r="AC49" t="s">
        <v>264</v>
      </c>
      <c r="AD49" t="s">
        <v>265</v>
      </c>
      <c r="AE49" t="s">
        <v>266</v>
      </c>
      <c r="AF49" s="55" t="s">
        <v>88</v>
      </c>
      <c r="AG49" s="41">
        <v>86.02</v>
      </c>
      <c r="AH49" s="80">
        <v>1.9E-3</v>
      </c>
      <c r="AI49" s="48">
        <f>AH49/SUM($AH$49)</f>
        <v>1</v>
      </c>
      <c r="AJ49" s="81">
        <f>AI49*$N$21</f>
        <v>1.2700000000000003E-2</v>
      </c>
      <c r="AK49" s="82">
        <v>1.2700000000000003E-2</v>
      </c>
      <c r="AL49" s="83">
        <f>AK49/$AJ$51</f>
        <v>1.3324939670548736E-2</v>
      </c>
      <c r="AM49" s="84">
        <f>AL49^2</f>
        <v>1.7755401722376345E-4</v>
      </c>
      <c r="AN49" s="24"/>
    </row>
    <row r="50" spans="1:40">
      <c r="A50">
        <v>49</v>
      </c>
      <c r="B50" t="s">
        <v>267</v>
      </c>
      <c r="C50" t="s">
        <v>268</v>
      </c>
      <c r="D50" t="s">
        <v>269</v>
      </c>
      <c r="E50" s="41">
        <v>63.23</v>
      </c>
      <c r="F50" s="75">
        <v>5.1000000000000004E-3</v>
      </c>
      <c r="G50" t="s">
        <v>115</v>
      </c>
      <c r="H50" t="s">
        <v>158</v>
      </c>
      <c r="I50" s="41" t="s">
        <v>32</v>
      </c>
      <c r="J50" s="1"/>
      <c r="AA50" s="46"/>
      <c r="AB50" s="47"/>
      <c r="AC50" s="44"/>
      <c r="AD50" s="44"/>
      <c r="AE50" s="44"/>
      <c r="AF50" s="56"/>
      <c r="AG50" s="50"/>
      <c r="AH50" s="86"/>
      <c r="AI50" s="49"/>
      <c r="AJ50" s="87"/>
      <c r="AK50" s="82"/>
      <c r="AL50" s="88"/>
      <c r="AM50" s="84"/>
      <c r="AN50" s="24"/>
    </row>
    <row r="51" spans="1:40">
      <c r="A51">
        <v>50</v>
      </c>
      <c r="B51" t="s">
        <v>270</v>
      </c>
      <c r="C51" t="s">
        <v>271</v>
      </c>
      <c r="D51" t="s">
        <v>272</v>
      </c>
      <c r="E51" s="41">
        <v>75.98</v>
      </c>
      <c r="F51" s="75">
        <v>5.0000000000000001E-3</v>
      </c>
      <c r="G51" t="s">
        <v>89</v>
      </c>
      <c r="H51" t="s">
        <v>89</v>
      </c>
      <c r="I51" s="41" t="s">
        <v>32</v>
      </c>
      <c r="J51" s="1"/>
      <c r="AI51" s="78" t="s">
        <v>273</v>
      </c>
      <c r="AJ51" s="91">
        <f>SUM(AJ2:AJ50)</f>
        <v>0.95310000000000028</v>
      </c>
      <c r="AK51" s="92"/>
      <c r="AL51" s="91">
        <f>SUM(AL2:AL50)</f>
        <v>0.99999999999999989</v>
      </c>
      <c r="AM51" s="93">
        <f>SUM(AM2:AM50)</f>
        <v>2.6680995838170598E-2</v>
      </c>
    </row>
    <row r="52" spans="1:40">
      <c r="A52">
        <v>51</v>
      </c>
      <c r="B52" t="s">
        <v>274</v>
      </c>
      <c r="C52" t="s">
        <v>275</v>
      </c>
      <c r="D52" t="s">
        <v>276</v>
      </c>
      <c r="E52" s="41">
        <v>73.260000000000005</v>
      </c>
      <c r="F52" s="75">
        <v>5.0000000000000001E-3</v>
      </c>
      <c r="G52" t="s">
        <v>52</v>
      </c>
      <c r="H52" t="s">
        <v>53</v>
      </c>
      <c r="I52" s="41" t="s">
        <v>32</v>
      </c>
      <c r="J52" s="1"/>
      <c r="AJ52" s="48"/>
    </row>
    <row r="53" spans="1:40">
      <c r="A53">
        <v>52</v>
      </c>
      <c r="B53" t="s">
        <v>277</v>
      </c>
      <c r="C53" t="s">
        <v>278</v>
      </c>
      <c r="D53" t="s">
        <v>279</v>
      </c>
      <c r="E53" s="41">
        <v>77.290000000000006</v>
      </c>
      <c r="F53" s="75">
        <v>4.7999999999999996E-3</v>
      </c>
      <c r="G53" t="s">
        <v>89</v>
      </c>
      <c r="H53" t="s">
        <v>89</v>
      </c>
      <c r="I53" s="41" t="s">
        <v>32</v>
      </c>
      <c r="J53" s="1"/>
      <c r="AJ53" s="48"/>
    </row>
    <row r="54" spans="1:40">
      <c r="A54">
        <v>53</v>
      </c>
      <c r="B54" t="s">
        <v>280</v>
      </c>
      <c r="C54" t="s">
        <v>281</v>
      </c>
      <c r="D54" t="s">
        <v>282</v>
      </c>
      <c r="E54" s="41">
        <v>73.680000000000007</v>
      </c>
      <c r="F54" s="75">
        <v>4.7999999999999996E-3</v>
      </c>
      <c r="G54" t="s">
        <v>48</v>
      </c>
      <c r="H54" t="s">
        <v>71</v>
      </c>
      <c r="I54" s="41" t="s">
        <v>32</v>
      </c>
      <c r="J54" s="1"/>
    </row>
    <row r="55" spans="1:40">
      <c r="A55">
        <v>54</v>
      </c>
      <c r="B55" t="s">
        <v>136</v>
      </c>
      <c r="C55" t="s">
        <v>137</v>
      </c>
      <c r="D55" t="s">
        <v>138</v>
      </c>
      <c r="E55" s="41">
        <v>70.819999999999993</v>
      </c>
      <c r="F55" s="75">
        <v>4.7999999999999996E-3</v>
      </c>
      <c r="G55" t="s">
        <v>34</v>
      </c>
      <c r="H55" t="s">
        <v>54</v>
      </c>
      <c r="I55" s="41" t="s">
        <v>32</v>
      </c>
      <c r="J55" s="1"/>
    </row>
    <row r="56" spans="1:40">
      <c r="A56">
        <v>55</v>
      </c>
      <c r="B56" t="s">
        <v>72</v>
      </c>
      <c r="C56" t="s">
        <v>73</v>
      </c>
      <c r="D56" t="s">
        <v>74</v>
      </c>
      <c r="E56" s="41">
        <v>85.67</v>
      </c>
      <c r="F56" s="75">
        <v>4.5999999999999999E-3</v>
      </c>
      <c r="G56" t="s">
        <v>34</v>
      </c>
      <c r="H56" t="s">
        <v>33</v>
      </c>
      <c r="I56" s="41" t="s">
        <v>32</v>
      </c>
      <c r="J56" s="1"/>
    </row>
    <row r="57" spans="1:40">
      <c r="A57">
        <v>56</v>
      </c>
      <c r="B57" t="s">
        <v>283</v>
      </c>
      <c r="C57" t="s">
        <v>284</v>
      </c>
      <c r="D57" t="s">
        <v>285</v>
      </c>
      <c r="E57" s="41">
        <v>84.11</v>
      </c>
      <c r="F57" s="75">
        <v>3.3E-3</v>
      </c>
      <c r="G57" t="s">
        <v>34</v>
      </c>
      <c r="H57" t="s">
        <v>33</v>
      </c>
      <c r="I57" s="41" t="s">
        <v>32</v>
      </c>
      <c r="J57" s="1"/>
    </row>
    <row r="58" spans="1:40">
      <c r="A58">
        <v>57</v>
      </c>
      <c r="B58" t="s">
        <v>221</v>
      </c>
      <c r="C58" t="s">
        <v>222</v>
      </c>
      <c r="D58" t="s">
        <v>223</v>
      </c>
      <c r="E58" s="41">
        <v>75.88</v>
      </c>
      <c r="F58" s="75">
        <v>4.5999999999999999E-3</v>
      </c>
      <c r="G58" t="s">
        <v>75</v>
      </c>
      <c r="H58" t="s">
        <v>111</v>
      </c>
      <c r="I58" s="41" t="s">
        <v>32</v>
      </c>
      <c r="J58" s="1"/>
    </row>
    <row r="59" spans="1:40">
      <c r="A59">
        <v>58</v>
      </c>
      <c r="B59" t="s">
        <v>286</v>
      </c>
      <c r="C59" t="s">
        <v>287</v>
      </c>
      <c r="D59" t="s">
        <v>288</v>
      </c>
      <c r="E59" s="41">
        <v>75.64</v>
      </c>
      <c r="F59" s="75">
        <v>4.4999999999999997E-3</v>
      </c>
      <c r="G59" t="s">
        <v>48</v>
      </c>
      <c r="H59" t="s">
        <v>63</v>
      </c>
      <c r="I59" s="41" t="s">
        <v>32</v>
      </c>
      <c r="J59" s="1"/>
    </row>
    <row r="60" spans="1:40">
      <c r="A60">
        <v>59</v>
      </c>
      <c r="B60" t="s">
        <v>237</v>
      </c>
      <c r="C60" t="s">
        <v>238</v>
      </c>
      <c r="D60" t="s">
        <v>239</v>
      </c>
      <c r="E60" s="41">
        <v>88.27</v>
      </c>
      <c r="F60" s="75">
        <v>4.4000000000000003E-3</v>
      </c>
      <c r="G60" t="s">
        <v>89</v>
      </c>
      <c r="H60" t="s">
        <v>89</v>
      </c>
      <c r="I60" s="41" t="s">
        <v>32</v>
      </c>
      <c r="J60" s="1"/>
    </row>
    <row r="61" spans="1:40">
      <c r="A61">
        <v>60</v>
      </c>
      <c r="B61" t="s">
        <v>289</v>
      </c>
      <c r="C61" t="s">
        <v>290</v>
      </c>
      <c r="D61" t="s">
        <v>291</v>
      </c>
      <c r="E61" s="41">
        <v>56.84</v>
      </c>
      <c r="F61" s="75">
        <v>4.4000000000000003E-3</v>
      </c>
      <c r="G61" t="s">
        <v>75</v>
      </c>
      <c r="H61" t="s">
        <v>103</v>
      </c>
      <c r="I61" s="41" t="s">
        <v>32</v>
      </c>
      <c r="J61" s="1"/>
    </row>
    <row r="62" spans="1:40">
      <c r="A62">
        <v>61</v>
      </c>
      <c r="B62" t="s">
        <v>292</v>
      </c>
      <c r="C62" t="s">
        <v>293</v>
      </c>
      <c r="D62" t="s">
        <v>294</v>
      </c>
      <c r="E62" s="41">
        <v>62.77</v>
      </c>
      <c r="F62" s="75">
        <v>4.1999999999999997E-3</v>
      </c>
      <c r="G62" t="s">
        <v>34</v>
      </c>
      <c r="H62" t="s">
        <v>54</v>
      </c>
      <c r="I62" s="41" t="s">
        <v>32</v>
      </c>
      <c r="J62" s="1"/>
    </row>
    <row r="63" spans="1:40">
      <c r="A63">
        <v>62</v>
      </c>
      <c r="B63" t="s">
        <v>295</v>
      </c>
      <c r="C63" t="s">
        <v>296</v>
      </c>
      <c r="D63" t="s">
        <v>297</v>
      </c>
      <c r="E63" s="41">
        <v>69.760000000000005</v>
      </c>
      <c r="F63" s="75">
        <v>4.1999999999999997E-3</v>
      </c>
      <c r="G63" t="s">
        <v>34</v>
      </c>
      <c r="H63" t="s">
        <v>54</v>
      </c>
      <c r="I63" s="41" t="s">
        <v>32</v>
      </c>
      <c r="J63" s="1"/>
    </row>
    <row r="64" spans="1:40">
      <c r="A64">
        <v>63</v>
      </c>
      <c r="B64" t="s">
        <v>203</v>
      </c>
      <c r="C64" t="s">
        <v>204</v>
      </c>
      <c r="D64" t="s">
        <v>205</v>
      </c>
      <c r="E64" s="41">
        <v>92.82</v>
      </c>
      <c r="F64" s="75">
        <v>4.1999999999999997E-3</v>
      </c>
      <c r="G64" t="s">
        <v>52</v>
      </c>
      <c r="H64" t="s">
        <v>53</v>
      </c>
      <c r="I64" s="41" t="s">
        <v>32</v>
      </c>
      <c r="J64" s="1"/>
    </row>
    <row r="65" spans="1:11">
      <c r="A65">
        <v>64</v>
      </c>
      <c r="B65" t="s">
        <v>112</v>
      </c>
      <c r="C65" t="s">
        <v>113</v>
      </c>
      <c r="D65" t="s">
        <v>114</v>
      </c>
      <c r="E65" s="41">
        <v>82.75</v>
      </c>
      <c r="F65" s="75">
        <v>4.1000000000000003E-3</v>
      </c>
      <c r="G65" t="s">
        <v>34</v>
      </c>
      <c r="H65" t="s">
        <v>43</v>
      </c>
      <c r="I65" s="41" t="s">
        <v>32</v>
      </c>
      <c r="J65" s="1"/>
    </row>
    <row r="66" spans="1:11">
      <c r="A66">
        <v>65</v>
      </c>
      <c r="B66" t="s">
        <v>79</v>
      </c>
      <c r="C66" t="s">
        <v>80</v>
      </c>
      <c r="D66" t="s">
        <v>81</v>
      </c>
      <c r="E66" s="41">
        <v>83.65</v>
      </c>
      <c r="F66" s="75">
        <v>4.0000000000000001E-3</v>
      </c>
      <c r="G66" t="s">
        <v>34</v>
      </c>
      <c r="H66" t="s">
        <v>33</v>
      </c>
      <c r="I66" s="41" t="s">
        <v>32</v>
      </c>
      <c r="J66" s="1"/>
    </row>
    <row r="67" spans="1:11">
      <c r="A67">
        <v>66</v>
      </c>
      <c r="B67" t="s">
        <v>298</v>
      </c>
      <c r="C67" t="s">
        <v>299</v>
      </c>
      <c r="D67" t="s">
        <v>300</v>
      </c>
      <c r="E67" s="41">
        <v>68.010000000000005</v>
      </c>
      <c r="F67" s="75">
        <v>4.1000000000000003E-3</v>
      </c>
      <c r="G67" t="s">
        <v>34</v>
      </c>
      <c r="H67" t="s">
        <v>54</v>
      </c>
      <c r="I67" s="41" t="s">
        <v>32</v>
      </c>
      <c r="J67" s="1"/>
    </row>
    <row r="68" spans="1:11">
      <c r="A68">
        <v>67</v>
      </c>
      <c r="B68" t="s">
        <v>301</v>
      </c>
      <c r="C68" t="s">
        <v>302</v>
      </c>
      <c r="D68" t="s">
        <v>303</v>
      </c>
      <c r="E68" s="41">
        <v>81.23</v>
      </c>
      <c r="F68" s="75">
        <v>4.0000000000000001E-3</v>
      </c>
      <c r="G68" t="s">
        <v>59</v>
      </c>
      <c r="H68" t="s">
        <v>59</v>
      </c>
      <c r="I68" s="41" t="s">
        <v>32</v>
      </c>
      <c r="J68" s="1"/>
    </row>
    <row r="69" spans="1:11">
      <c r="A69">
        <v>68</v>
      </c>
      <c r="B69" t="s">
        <v>304</v>
      </c>
      <c r="C69" t="s">
        <v>305</v>
      </c>
      <c r="D69" t="s">
        <v>306</v>
      </c>
      <c r="E69" s="41">
        <v>82.24</v>
      </c>
      <c r="F69" s="75">
        <v>1E-3</v>
      </c>
      <c r="G69" t="s">
        <v>34</v>
      </c>
      <c r="H69" t="s">
        <v>33</v>
      </c>
      <c r="I69" s="41" t="s">
        <v>32</v>
      </c>
      <c r="J69" s="1"/>
    </row>
    <row r="70" spans="1:11">
      <c r="A70">
        <v>69</v>
      </c>
      <c r="B70" t="s">
        <v>307</v>
      </c>
      <c r="C70" t="s">
        <v>308</v>
      </c>
      <c r="D70" t="s">
        <v>309</v>
      </c>
      <c r="E70" s="41">
        <v>79.36</v>
      </c>
      <c r="F70" s="75">
        <v>3.8E-3</v>
      </c>
      <c r="G70" t="s">
        <v>59</v>
      </c>
      <c r="H70" t="s">
        <v>59</v>
      </c>
      <c r="I70" s="41" t="s">
        <v>32</v>
      </c>
      <c r="J70" s="1"/>
    </row>
    <row r="71" spans="1:11">
      <c r="A71">
        <v>70</v>
      </c>
      <c r="B71" t="s">
        <v>141</v>
      </c>
      <c r="C71" t="s">
        <v>142</v>
      </c>
      <c r="D71" t="s">
        <v>143</v>
      </c>
      <c r="E71" s="41">
        <v>70.75</v>
      </c>
      <c r="F71" s="75">
        <v>3.7000000000000002E-3</v>
      </c>
      <c r="G71" t="s">
        <v>34</v>
      </c>
      <c r="H71" t="s">
        <v>54</v>
      </c>
      <c r="I71" s="41" t="s">
        <v>32</v>
      </c>
      <c r="J71" s="1"/>
    </row>
    <row r="72" spans="1:11">
      <c r="A72">
        <v>71</v>
      </c>
      <c r="B72" t="s">
        <v>232</v>
      </c>
      <c r="C72" t="s">
        <v>233</v>
      </c>
      <c r="D72" t="s">
        <v>234</v>
      </c>
      <c r="E72" s="41">
        <v>76.83</v>
      </c>
      <c r="F72" s="75">
        <v>3.5999999999999999E-3</v>
      </c>
      <c r="G72" t="s">
        <v>30</v>
      </c>
      <c r="H72" t="s">
        <v>42</v>
      </c>
      <c r="I72" s="41" t="s">
        <v>32</v>
      </c>
      <c r="J72" s="1"/>
    </row>
    <row r="73" spans="1:11">
      <c r="A73">
        <v>72</v>
      </c>
      <c r="B73" t="s">
        <v>310</v>
      </c>
      <c r="C73" t="s">
        <v>311</v>
      </c>
      <c r="D73" t="s">
        <v>312</v>
      </c>
      <c r="E73" s="41">
        <v>81.290000000000006</v>
      </c>
      <c r="F73" s="75">
        <v>4.1000000000000003E-3</v>
      </c>
      <c r="G73" t="s">
        <v>34</v>
      </c>
      <c r="H73" t="s">
        <v>33</v>
      </c>
      <c r="I73" s="41" t="s">
        <v>32</v>
      </c>
      <c r="J73" s="1"/>
      <c r="K73" s="25"/>
    </row>
    <row r="74" spans="1:11">
      <c r="A74">
        <v>73</v>
      </c>
      <c r="B74" t="s">
        <v>313</v>
      </c>
      <c r="C74" t="s">
        <v>314</v>
      </c>
      <c r="D74" t="s">
        <v>315</v>
      </c>
      <c r="E74" s="41">
        <v>83.63</v>
      </c>
      <c r="F74" s="75">
        <v>3.5000000000000001E-3</v>
      </c>
      <c r="G74" t="s">
        <v>52</v>
      </c>
      <c r="H74" t="s">
        <v>53</v>
      </c>
      <c r="I74" s="41" t="s">
        <v>32</v>
      </c>
      <c r="J74" s="1"/>
    </row>
    <row r="75" spans="1:11">
      <c r="A75">
        <v>74</v>
      </c>
      <c r="B75" t="s">
        <v>316</v>
      </c>
      <c r="C75" t="s">
        <v>317</v>
      </c>
      <c r="D75" t="s">
        <v>318</v>
      </c>
      <c r="E75" s="41">
        <v>62.26</v>
      </c>
      <c r="F75" s="75">
        <v>3.5000000000000001E-3</v>
      </c>
      <c r="G75" t="s">
        <v>52</v>
      </c>
      <c r="H75" t="s">
        <v>53</v>
      </c>
      <c r="I75" s="41" t="s">
        <v>32</v>
      </c>
      <c r="J75" s="1"/>
    </row>
    <row r="76" spans="1:11">
      <c r="A76">
        <v>75</v>
      </c>
      <c r="B76" t="s">
        <v>243</v>
      </c>
      <c r="C76" t="s">
        <v>244</v>
      </c>
      <c r="D76" s="26" t="s">
        <v>245</v>
      </c>
      <c r="E76" s="73">
        <v>88.14</v>
      </c>
      <c r="F76" s="75">
        <v>3.3999999999999998E-3</v>
      </c>
      <c r="G76" t="s">
        <v>89</v>
      </c>
      <c r="H76" t="s">
        <v>89</v>
      </c>
      <c r="I76" s="41" t="s">
        <v>32</v>
      </c>
      <c r="J76" s="1"/>
    </row>
    <row r="77" spans="1:11">
      <c r="A77">
        <v>76</v>
      </c>
      <c r="B77" t="s">
        <v>164</v>
      </c>
      <c r="C77" t="s">
        <v>165</v>
      </c>
      <c r="D77" t="s">
        <v>166</v>
      </c>
      <c r="E77" s="41">
        <v>86.49</v>
      </c>
      <c r="F77" s="75">
        <v>3.3999999999999998E-3</v>
      </c>
      <c r="G77" t="s">
        <v>48</v>
      </c>
      <c r="H77" t="s">
        <v>63</v>
      </c>
      <c r="I77" s="41" t="s">
        <v>32</v>
      </c>
      <c r="J77" s="1"/>
    </row>
    <row r="78" spans="1:11">
      <c r="A78">
        <v>77</v>
      </c>
      <c r="B78" t="s">
        <v>319</v>
      </c>
      <c r="C78" t="s">
        <v>320</v>
      </c>
      <c r="D78" t="s">
        <v>321</v>
      </c>
      <c r="E78" s="41">
        <v>77.78</v>
      </c>
      <c r="F78" s="75">
        <v>3.3999999999999998E-3</v>
      </c>
      <c r="G78" t="s">
        <v>48</v>
      </c>
      <c r="H78" t="s">
        <v>71</v>
      </c>
      <c r="I78" s="41" t="s">
        <v>32</v>
      </c>
      <c r="J78" s="1"/>
    </row>
    <row r="79" spans="1:11">
      <c r="A79">
        <v>78</v>
      </c>
      <c r="B79" t="s">
        <v>120</v>
      </c>
      <c r="C79" t="s">
        <v>121</v>
      </c>
      <c r="D79" t="s">
        <v>122</v>
      </c>
      <c r="E79" s="41">
        <v>90.45</v>
      </c>
      <c r="F79" s="75">
        <v>3.3999999999999998E-3</v>
      </c>
      <c r="G79" t="s">
        <v>34</v>
      </c>
      <c r="H79" t="s">
        <v>43</v>
      </c>
      <c r="I79" s="41" t="s">
        <v>32</v>
      </c>
      <c r="J79" s="1"/>
    </row>
    <row r="80" spans="1:11">
      <c r="A80">
        <v>79</v>
      </c>
      <c r="B80" t="s">
        <v>322</v>
      </c>
      <c r="C80" t="s">
        <v>323</v>
      </c>
      <c r="D80" t="s">
        <v>324</v>
      </c>
      <c r="E80" s="41">
        <v>63.16</v>
      </c>
      <c r="F80" s="75">
        <v>3.3E-3</v>
      </c>
      <c r="G80" t="s">
        <v>48</v>
      </c>
      <c r="H80" t="s">
        <v>71</v>
      </c>
      <c r="I80" s="41" t="s">
        <v>32</v>
      </c>
      <c r="J80" s="1"/>
    </row>
    <row r="81" spans="1:10">
      <c r="A81">
        <v>80</v>
      </c>
      <c r="B81" t="s">
        <v>325</v>
      </c>
      <c r="C81" t="s">
        <v>326</v>
      </c>
      <c r="D81" t="s">
        <v>327</v>
      </c>
      <c r="E81" s="41">
        <v>72.959999999999994</v>
      </c>
      <c r="F81" s="75">
        <v>3.3E-3</v>
      </c>
      <c r="G81" t="s">
        <v>48</v>
      </c>
      <c r="H81" t="s">
        <v>71</v>
      </c>
      <c r="I81" s="41" t="s">
        <v>32</v>
      </c>
      <c r="J81" s="1"/>
    </row>
    <row r="82" spans="1:10">
      <c r="A82">
        <v>81</v>
      </c>
      <c r="B82" t="s">
        <v>328</v>
      </c>
      <c r="C82" t="s">
        <v>329</v>
      </c>
      <c r="D82" s="26" t="s">
        <v>330</v>
      </c>
      <c r="E82" s="73">
        <v>80.2</v>
      </c>
      <c r="F82" s="75">
        <v>6.9999999999999999E-4</v>
      </c>
      <c r="G82" t="s">
        <v>34</v>
      </c>
      <c r="H82" t="s">
        <v>33</v>
      </c>
      <c r="I82" s="41" t="s">
        <v>32</v>
      </c>
      <c r="J82" s="1"/>
    </row>
    <row r="83" spans="1:10">
      <c r="A83">
        <v>82</v>
      </c>
      <c r="B83" t="s">
        <v>212</v>
      </c>
      <c r="C83" t="s">
        <v>213</v>
      </c>
      <c r="D83" t="s">
        <v>214</v>
      </c>
      <c r="E83" s="41">
        <v>89.92</v>
      </c>
      <c r="F83" s="75">
        <v>3.3E-3</v>
      </c>
      <c r="G83" t="s">
        <v>75</v>
      </c>
      <c r="H83" t="s">
        <v>103</v>
      </c>
      <c r="I83" s="41" t="s">
        <v>32</v>
      </c>
      <c r="J83" s="1"/>
    </row>
    <row r="84" spans="1:10">
      <c r="A84">
        <v>83</v>
      </c>
      <c r="B84" t="s">
        <v>215</v>
      </c>
      <c r="C84" t="s">
        <v>216</v>
      </c>
      <c r="D84" t="s">
        <v>217</v>
      </c>
      <c r="E84" s="41">
        <v>91.49</v>
      </c>
      <c r="F84" s="75">
        <v>3.3E-3</v>
      </c>
      <c r="G84" t="s">
        <v>75</v>
      </c>
      <c r="H84" t="s">
        <v>103</v>
      </c>
      <c r="I84" s="41" t="s">
        <v>32</v>
      </c>
      <c r="J84" s="1"/>
    </row>
    <row r="85" spans="1:10">
      <c r="A85">
        <v>84</v>
      </c>
      <c r="B85" t="s">
        <v>331</v>
      </c>
      <c r="C85" t="s">
        <v>332</v>
      </c>
      <c r="D85" t="s">
        <v>333</v>
      </c>
      <c r="E85" s="41">
        <v>71.989999999999995</v>
      </c>
      <c r="F85" s="75">
        <v>3.0999999999999999E-3</v>
      </c>
      <c r="G85" t="s">
        <v>107</v>
      </c>
      <c r="H85" t="s">
        <v>107</v>
      </c>
      <c r="I85" s="41" t="s">
        <v>32</v>
      </c>
      <c r="J85" s="1"/>
    </row>
    <row r="86" spans="1:10">
      <c r="A86">
        <v>85</v>
      </c>
      <c r="B86" t="s">
        <v>334</v>
      </c>
      <c r="C86" t="s">
        <v>335</v>
      </c>
      <c r="D86" t="s">
        <v>336</v>
      </c>
      <c r="E86" s="41">
        <v>79.599999999999994</v>
      </c>
      <c r="F86" s="75">
        <v>3.0999999999999999E-3</v>
      </c>
      <c r="G86" t="s">
        <v>89</v>
      </c>
      <c r="H86" t="s">
        <v>89</v>
      </c>
      <c r="I86" s="41" t="s">
        <v>32</v>
      </c>
      <c r="J86" s="1"/>
    </row>
    <row r="87" spans="1:10">
      <c r="A87">
        <v>86</v>
      </c>
      <c r="B87" t="s">
        <v>337</v>
      </c>
      <c r="C87" t="s">
        <v>338</v>
      </c>
      <c r="D87" t="s">
        <v>339</v>
      </c>
      <c r="E87" s="41">
        <v>72.849999999999994</v>
      </c>
      <c r="F87" s="75">
        <v>3.0999999999999999E-3</v>
      </c>
      <c r="G87" t="s">
        <v>89</v>
      </c>
      <c r="H87" t="s">
        <v>89</v>
      </c>
      <c r="I87" s="41" t="s">
        <v>32</v>
      </c>
      <c r="J87" s="1"/>
    </row>
    <row r="88" spans="1:10">
      <c r="A88">
        <v>87</v>
      </c>
      <c r="B88" t="s">
        <v>340</v>
      </c>
      <c r="C88" t="s">
        <v>341</v>
      </c>
      <c r="D88" t="s">
        <v>342</v>
      </c>
      <c r="E88" s="41">
        <v>74.44</v>
      </c>
      <c r="F88" s="75">
        <v>3.0999999999999999E-3</v>
      </c>
      <c r="G88" t="s">
        <v>48</v>
      </c>
      <c r="H88" t="s">
        <v>63</v>
      </c>
      <c r="I88" s="41" t="s">
        <v>32</v>
      </c>
      <c r="J88" s="1"/>
    </row>
    <row r="89" spans="1:10">
      <c r="A89">
        <v>88</v>
      </c>
      <c r="B89" t="s">
        <v>206</v>
      </c>
      <c r="C89" t="s">
        <v>207</v>
      </c>
      <c r="D89" t="s">
        <v>208</v>
      </c>
      <c r="E89" s="41">
        <v>85.83</v>
      </c>
      <c r="F89" s="75">
        <v>3.0000000000000001E-3</v>
      </c>
      <c r="G89" t="s">
        <v>52</v>
      </c>
      <c r="H89" t="s">
        <v>93</v>
      </c>
      <c r="I89" s="41" t="s">
        <v>32</v>
      </c>
      <c r="J89" s="1"/>
    </row>
    <row r="90" spans="1:10">
      <c r="A90">
        <v>89</v>
      </c>
      <c r="B90" t="s">
        <v>343</v>
      </c>
      <c r="C90" t="s">
        <v>344</v>
      </c>
      <c r="D90" t="s">
        <v>345</v>
      </c>
      <c r="E90" s="41">
        <v>76.760000000000005</v>
      </c>
      <c r="F90" s="75">
        <v>2.8999999999999998E-3</v>
      </c>
      <c r="G90" t="s">
        <v>107</v>
      </c>
      <c r="H90" t="s">
        <v>107</v>
      </c>
      <c r="I90" s="41" t="s">
        <v>102</v>
      </c>
      <c r="J90" s="1"/>
    </row>
    <row r="91" spans="1:10">
      <c r="A91">
        <v>90</v>
      </c>
      <c r="B91" t="s">
        <v>346</v>
      </c>
      <c r="C91" t="s">
        <v>347</v>
      </c>
      <c r="D91" t="s">
        <v>348</v>
      </c>
      <c r="E91" s="41">
        <v>66.959999999999994</v>
      </c>
      <c r="F91" s="75">
        <v>2.7000000000000001E-3</v>
      </c>
      <c r="G91" t="s">
        <v>59</v>
      </c>
      <c r="H91" t="s">
        <v>59</v>
      </c>
      <c r="I91" s="41" t="s">
        <v>32</v>
      </c>
      <c r="J91" s="1"/>
    </row>
    <row r="92" spans="1:10">
      <c r="A92">
        <v>91</v>
      </c>
      <c r="B92" t="s">
        <v>224</v>
      </c>
      <c r="C92" t="s">
        <v>225</v>
      </c>
      <c r="D92" t="s">
        <v>226</v>
      </c>
      <c r="E92" s="41">
        <v>88.36</v>
      </c>
      <c r="F92" s="75">
        <v>2.7000000000000001E-3</v>
      </c>
      <c r="G92" t="s">
        <v>75</v>
      </c>
      <c r="H92" t="s">
        <v>119</v>
      </c>
      <c r="I92" s="41" t="s">
        <v>32</v>
      </c>
      <c r="J92" s="1"/>
    </row>
    <row r="93" spans="1:10">
      <c r="A93">
        <v>92</v>
      </c>
      <c r="B93" t="s">
        <v>349</v>
      </c>
      <c r="C93" t="s">
        <v>350</v>
      </c>
      <c r="F93" s="75">
        <v>2.5999999999999999E-3</v>
      </c>
      <c r="G93" t="s">
        <v>89</v>
      </c>
      <c r="H93" t="s">
        <v>89</v>
      </c>
      <c r="I93" s="41" t="s">
        <v>102</v>
      </c>
      <c r="J93" s="1"/>
    </row>
    <row r="94" spans="1:10">
      <c r="A94">
        <v>93</v>
      </c>
      <c r="B94" t="s">
        <v>351</v>
      </c>
      <c r="C94" t="s">
        <v>352</v>
      </c>
      <c r="F94" s="75">
        <v>2.5999999999999999E-3</v>
      </c>
      <c r="G94" t="s">
        <v>89</v>
      </c>
      <c r="H94" t="s">
        <v>89</v>
      </c>
      <c r="I94" s="41" t="s">
        <v>102</v>
      </c>
      <c r="J94" s="1"/>
    </row>
    <row r="95" spans="1:10">
      <c r="A95">
        <v>94</v>
      </c>
      <c r="B95" t="s">
        <v>353</v>
      </c>
      <c r="C95" t="s">
        <v>354</v>
      </c>
      <c r="D95" s="26" t="s">
        <v>355</v>
      </c>
      <c r="E95" s="73">
        <v>77.47</v>
      </c>
      <c r="F95" s="75">
        <v>2.5999999999999999E-3</v>
      </c>
      <c r="G95" t="s">
        <v>52</v>
      </c>
      <c r="H95" t="s">
        <v>93</v>
      </c>
      <c r="I95" s="41" t="s">
        <v>32</v>
      </c>
      <c r="J95" s="1"/>
    </row>
    <row r="96" spans="1:10">
      <c r="A96">
        <v>95</v>
      </c>
      <c r="B96" t="s">
        <v>172</v>
      </c>
      <c r="C96" t="s">
        <v>173</v>
      </c>
      <c r="D96" t="s">
        <v>174</v>
      </c>
      <c r="E96" s="41">
        <v>85.47</v>
      </c>
      <c r="F96" s="75">
        <v>2.3999999999999998E-3</v>
      </c>
      <c r="G96" t="s">
        <v>48</v>
      </c>
      <c r="H96" t="s">
        <v>63</v>
      </c>
      <c r="I96" s="41" t="s">
        <v>32</v>
      </c>
      <c r="J96" s="1"/>
    </row>
    <row r="97" spans="1:10">
      <c r="A97">
        <v>96</v>
      </c>
      <c r="B97" t="s">
        <v>356</v>
      </c>
      <c r="C97" t="s">
        <v>357</v>
      </c>
      <c r="D97" t="s">
        <v>358</v>
      </c>
      <c r="E97" s="41">
        <v>70.22</v>
      </c>
      <c r="F97" s="75">
        <v>2.3999999999999998E-3</v>
      </c>
      <c r="G97" t="s">
        <v>48</v>
      </c>
      <c r="H97" t="s">
        <v>63</v>
      </c>
      <c r="I97" s="41" t="s">
        <v>32</v>
      </c>
      <c r="J97" s="1"/>
    </row>
    <row r="98" spans="1:10">
      <c r="A98">
        <v>97</v>
      </c>
      <c r="B98" t="s">
        <v>359</v>
      </c>
      <c r="C98" t="s">
        <v>360</v>
      </c>
      <c r="D98" t="s">
        <v>361</v>
      </c>
      <c r="E98" s="41">
        <v>61.02</v>
      </c>
      <c r="F98" s="75">
        <v>2.3999999999999998E-3</v>
      </c>
      <c r="G98" t="s">
        <v>34</v>
      </c>
      <c r="H98" t="s">
        <v>54</v>
      </c>
      <c r="I98" s="41" t="s">
        <v>32</v>
      </c>
      <c r="J98" s="1"/>
    </row>
    <row r="99" spans="1:10">
      <c r="A99">
        <v>98</v>
      </c>
      <c r="B99" t="s">
        <v>362</v>
      </c>
      <c r="C99" t="s">
        <v>363</v>
      </c>
      <c r="D99" t="s">
        <v>364</v>
      </c>
      <c r="E99" s="41">
        <v>79.69</v>
      </c>
      <c r="F99" s="75">
        <v>7.4999999999999997E-3</v>
      </c>
      <c r="G99" t="s">
        <v>34</v>
      </c>
      <c r="H99" t="s">
        <v>33</v>
      </c>
      <c r="I99" s="41" t="s">
        <v>32</v>
      </c>
      <c r="J99" s="1"/>
    </row>
    <row r="100" spans="1:10">
      <c r="A100">
        <v>99</v>
      </c>
      <c r="B100" t="s">
        <v>365</v>
      </c>
      <c r="C100" t="s">
        <v>366</v>
      </c>
      <c r="F100" s="75">
        <v>2.3999999999999998E-3</v>
      </c>
      <c r="G100" t="s">
        <v>52</v>
      </c>
      <c r="H100" t="s">
        <v>53</v>
      </c>
      <c r="I100" s="41" t="s">
        <v>102</v>
      </c>
      <c r="J100" s="1"/>
    </row>
    <row r="101" spans="1:10">
      <c r="A101">
        <v>100</v>
      </c>
      <c r="B101" t="s">
        <v>367</v>
      </c>
      <c r="C101" t="s">
        <v>368</v>
      </c>
      <c r="D101" t="s">
        <v>369</v>
      </c>
      <c r="E101" s="41">
        <v>63.82</v>
      </c>
      <c r="F101" s="75">
        <v>2.3E-3</v>
      </c>
      <c r="G101" t="s">
        <v>30</v>
      </c>
      <c r="H101" t="s">
        <v>31</v>
      </c>
      <c r="I101" s="41" t="s">
        <v>32</v>
      </c>
      <c r="J101" s="1"/>
    </row>
    <row r="102" spans="1:10">
      <c r="A102">
        <v>101</v>
      </c>
      <c r="B102" t="s">
        <v>370</v>
      </c>
      <c r="C102" t="s">
        <v>371</v>
      </c>
      <c r="D102" t="s">
        <v>372</v>
      </c>
      <c r="E102" s="41">
        <v>64.8</v>
      </c>
      <c r="F102" s="75">
        <v>2.3E-3</v>
      </c>
      <c r="G102" t="s">
        <v>34</v>
      </c>
      <c r="H102" t="s">
        <v>43</v>
      </c>
      <c r="I102" s="41" t="s">
        <v>32</v>
      </c>
      <c r="J102" s="1"/>
    </row>
    <row r="103" spans="1:10">
      <c r="A103">
        <v>102</v>
      </c>
      <c r="B103" t="s">
        <v>373</v>
      </c>
      <c r="C103" t="s">
        <v>374</v>
      </c>
      <c r="D103" t="s">
        <v>375</v>
      </c>
      <c r="E103" s="41">
        <v>79.510000000000005</v>
      </c>
      <c r="F103" s="75">
        <v>5.1000000000000004E-3</v>
      </c>
      <c r="G103" t="s">
        <v>34</v>
      </c>
      <c r="H103" t="s">
        <v>33</v>
      </c>
      <c r="I103" s="41" t="s">
        <v>32</v>
      </c>
      <c r="J103" s="1"/>
    </row>
    <row r="104" spans="1:10">
      <c r="A104">
        <v>103</v>
      </c>
      <c r="B104" t="s">
        <v>376</v>
      </c>
      <c r="C104" t="s">
        <v>377</v>
      </c>
      <c r="F104" s="75">
        <v>2.3E-3</v>
      </c>
      <c r="G104" t="s">
        <v>98</v>
      </c>
      <c r="H104" t="s">
        <v>101</v>
      </c>
      <c r="I104" s="41" t="s">
        <v>102</v>
      </c>
      <c r="J104" s="1"/>
    </row>
    <row r="105" spans="1:10">
      <c r="A105">
        <v>104</v>
      </c>
      <c r="B105" t="s">
        <v>378</v>
      </c>
      <c r="C105" t="s">
        <v>379</v>
      </c>
      <c r="D105" t="s">
        <v>380</v>
      </c>
      <c r="E105" s="41">
        <v>79.069999999999993</v>
      </c>
      <c r="F105" s="75">
        <v>5.9999999999999995E-4</v>
      </c>
      <c r="G105" t="s">
        <v>34</v>
      </c>
      <c r="H105" t="s">
        <v>33</v>
      </c>
      <c r="I105" s="41" t="s">
        <v>32</v>
      </c>
      <c r="J105" s="1"/>
    </row>
    <row r="106" spans="1:10">
      <c r="A106">
        <v>105</v>
      </c>
      <c r="B106" t="s">
        <v>381</v>
      </c>
      <c r="C106" t="s">
        <v>382</v>
      </c>
      <c r="D106" t="s">
        <v>383</v>
      </c>
      <c r="E106" s="41">
        <v>80.58</v>
      </c>
      <c r="F106" s="75">
        <v>2.2000000000000001E-3</v>
      </c>
      <c r="G106" t="s">
        <v>34</v>
      </c>
      <c r="H106" t="s">
        <v>43</v>
      </c>
      <c r="I106" s="41" t="s">
        <v>32</v>
      </c>
      <c r="J106" s="1"/>
    </row>
    <row r="107" spans="1:10">
      <c r="A107">
        <v>106</v>
      </c>
      <c r="B107" t="s">
        <v>384</v>
      </c>
      <c r="C107" t="s">
        <v>385</v>
      </c>
      <c r="D107" t="s">
        <v>386</v>
      </c>
      <c r="E107" s="41">
        <v>76.010000000000005</v>
      </c>
      <c r="F107" s="75">
        <v>2.2000000000000001E-3</v>
      </c>
      <c r="G107" t="s">
        <v>115</v>
      </c>
      <c r="H107" t="s">
        <v>147</v>
      </c>
      <c r="I107" s="41" t="s">
        <v>32</v>
      </c>
      <c r="J107" s="1"/>
    </row>
    <row r="108" spans="1:10">
      <c r="A108">
        <v>107</v>
      </c>
      <c r="B108" t="s">
        <v>387</v>
      </c>
      <c r="C108" t="s">
        <v>388</v>
      </c>
      <c r="D108" t="s">
        <v>389</v>
      </c>
      <c r="E108" s="41">
        <v>73.89</v>
      </c>
      <c r="F108" s="75">
        <v>2.0999999999999999E-3</v>
      </c>
      <c r="G108" t="s">
        <v>107</v>
      </c>
      <c r="H108" t="s">
        <v>107</v>
      </c>
      <c r="I108" s="41" t="s">
        <v>32</v>
      </c>
      <c r="J108" s="1"/>
    </row>
    <row r="109" spans="1:10">
      <c r="A109">
        <v>108</v>
      </c>
      <c r="B109" t="s">
        <v>390</v>
      </c>
      <c r="C109" t="s">
        <v>391</v>
      </c>
      <c r="D109" t="s">
        <v>392</v>
      </c>
      <c r="E109" s="41">
        <v>82.74</v>
      </c>
      <c r="F109" s="75">
        <v>2.0999999999999999E-3</v>
      </c>
      <c r="G109" t="s">
        <v>30</v>
      </c>
      <c r="H109" t="s">
        <v>42</v>
      </c>
      <c r="I109" s="41" t="s">
        <v>32</v>
      </c>
      <c r="J109" s="1"/>
    </row>
    <row r="110" spans="1:10">
      <c r="A110">
        <v>109</v>
      </c>
      <c r="B110" t="s">
        <v>393</v>
      </c>
      <c r="C110" t="s">
        <v>394</v>
      </c>
      <c r="D110" t="s">
        <v>395</v>
      </c>
      <c r="E110" s="41">
        <v>50.44</v>
      </c>
      <c r="F110" s="75">
        <v>2.0999999999999999E-3</v>
      </c>
      <c r="G110" t="s">
        <v>30</v>
      </c>
      <c r="H110" t="s">
        <v>31</v>
      </c>
      <c r="I110" s="41" t="s">
        <v>32</v>
      </c>
      <c r="J110" s="1"/>
    </row>
    <row r="111" spans="1:10">
      <c r="A111">
        <v>110</v>
      </c>
      <c r="B111" t="s">
        <v>396</v>
      </c>
      <c r="C111" t="s">
        <v>397</v>
      </c>
      <c r="D111" t="s">
        <v>398</v>
      </c>
      <c r="E111" s="41">
        <v>79.75</v>
      </c>
      <c r="F111" s="75">
        <v>2.0999999999999999E-3</v>
      </c>
      <c r="G111" t="s">
        <v>89</v>
      </c>
      <c r="H111" t="s">
        <v>89</v>
      </c>
      <c r="I111" s="41" t="s">
        <v>32</v>
      </c>
      <c r="J111" s="1"/>
    </row>
    <row r="112" spans="1:10">
      <c r="A112">
        <v>111</v>
      </c>
      <c r="B112" t="s">
        <v>399</v>
      </c>
      <c r="C112" t="s">
        <v>400</v>
      </c>
      <c r="D112" t="s">
        <v>401</v>
      </c>
      <c r="E112" s="41">
        <v>62.37</v>
      </c>
      <c r="F112" s="75">
        <v>2.0999999999999999E-3</v>
      </c>
      <c r="G112" t="s">
        <v>48</v>
      </c>
      <c r="H112" t="s">
        <v>63</v>
      </c>
      <c r="I112" s="41" t="s">
        <v>32</v>
      </c>
      <c r="J112" s="1"/>
    </row>
    <row r="113" spans="1:10">
      <c r="A113">
        <v>112</v>
      </c>
      <c r="B113" t="s">
        <v>402</v>
      </c>
      <c r="C113" t="s">
        <v>403</v>
      </c>
      <c r="D113" t="s">
        <v>404</v>
      </c>
      <c r="E113" s="41">
        <v>91.53</v>
      </c>
      <c r="F113" s="75">
        <v>2.0999999999999999E-3</v>
      </c>
      <c r="G113" t="s">
        <v>59</v>
      </c>
      <c r="H113" t="s">
        <v>59</v>
      </c>
      <c r="I113" s="41" t="s">
        <v>32</v>
      </c>
      <c r="J113" s="1"/>
    </row>
    <row r="114" spans="1:10">
      <c r="A114">
        <v>113</v>
      </c>
      <c r="B114" t="s">
        <v>405</v>
      </c>
      <c r="C114" t="s">
        <v>406</v>
      </c>
      <c r="D114" t="s">
        <v>407</v>
      </c>
      <c r="E114" s="41">
        <v>78.92</v>
      </c>
      <c r="F114" s="75">
        <v>5.0000000000000001E-4</v>
      </c>
      <c r="G114" t="s">
        <v>34</v>
      </c>
      <c r="H114" t="s">
        <v>33</v>
      </c>
      <c r="I114" s="41" t="s">
        <v>32</v>
      </c>
      <c r="J114" s="1"/>
    </row>
    <row r="115" spans="1:10">
      <c r="A115">
        <v>114</v>
      </c>
      <c r="B115" t="s">
        <v>408</v>
      </c>
      <c r="C115" t="s">
        <v>409</v>
      </c>
      <c r="D115" t="s">
        <v>410</v>
      </c>
      <c r="E115" s="41">
        <v>61.55</v>
      </c>
      <c r="F115" s="75">
        <v>2.0999999999999999E-3</v>
      </c>
      <c r="G115" t="s">
        <v>34</v>
      </c>
      <c r="H115" t="s">
        <v>43</v>
      </c>
      <c r="I115" s="41" t="s">
        <v>32</v>
      </c>
      <c r="J115" s="1"/>
    </row>
    <row r="116" spans="1:10">
      <c r="A116">
        <v>115</v>
      </c>
      <c r="B116" t="s">
        <v>411</v>
      </c>
      <c r="C116" t="s">
        <v>412</v>
      </c>
      <c r="D116" t="s">
        <v>413</v>
      </c>
      <c r="E116" s="41">
        <v>87.55</v>
      </c>
      <c r="F116" s="75">
        <v>2.0999999999999999E-3</v>
      </c>
      <c r="G116" t="s">
        <v>75</v>
      </c>
      <c r="H116" t="s">
        <v>103</v>
      </c>
      <c r="I116" s="41" t="s">
        <v>32</v>
      </c>
      <c r="J116" s="1"/>
    </row>
    <row r="117" spans="1:10">
      <c r="A117">
        <v>116</v>
      </c>
      <c r="B117" t="s">
        <v>414</v>
      </c>
      <c r="C117" t="s">
        <v>415</v>
      </c>
      <c r="D117" t="s">
        <v>416</v>
      </c>
      <c r="E117" s="41">
        <v>86.85</v>
      </c>
      <c r="F117" s="75">
        <v>2.0999999999999999E-3</v>
      </c>
      <c r="G117" t="s">
        <v>75</v>
      </c>
      <c r="H117" t="s">
        <v>103</v>
      </c>
      <c r="I117" s="41" t="s">
        <v>32</v>
      </c>
      <c r="J117" s="1"/>
    </row>
    <row r="118" spans="1:10">
      <c r="A118">
        <v>117</v>
      </c>
      <c r="B118" t="s">
        <v>417</v>
      </c>
      <c r="C118" t="s">
        <v>418</v>
      </c>
      <c r="D118" s="26" t="s">
        <v>419</v>
      </c>
      <c r="E118" s="73">
        <v>73.66</v>
      </c>
      <c r="F118" s="75">
        <v>2E-3</v>
      </c>
      <c r="G118" t="s">
        <v>107</v>
      </c>
      <c r="H118" t="s">
        <v>107</v>
      </c>
      <c r="I118" s="41" t="s">
        <v>32</v>
      </c>
      <c r="J118" s="1"/>
    </row>
    <row r="119" spans="1:10">
      <c r="A119">
        <v>118</v>
      </c>
      <c r="B119" t="s">
        <v>420</v>
      </c>
      <c r="C119" t="s">
        <v>421</v>
      </c>
      <c r="F119" s="75">
        <v>2E-3</v>
      </c>
      <c r="G119" t="s">
        <v>107</v>
      </c>
      <c r="H119" t="s">
        <v>107</v>
      </c>
      <c r="I119" s="41" t="s">
        <v>102</v>
      </c>
      <c r="J119" s="1"/>
    </row>
    <row r="120" spans="1:10">
      <c r="A120">
        <v>119</v>
      </c>
      <c r="B120" t="s">
        <v>422</v>
      </c>
      <c r="C120" t="s">
        <v>423</v>
      </c>
      <c r="D120" t="s">
        <v>424</v>
      </c>
      <c r="E120" s="41">
        <v>77.489999999999995</v>
      </c>
      <c r="F120" s="75">
        <v>1.1000000000000001E-3</v>
      </c>
      <c r="G120" t="s">
        <v>34</v>
      </c>
      <c r="H120" t="s">
        <v>33</v>
      </c>
      <c r="I120" s="41" t="s">
        <v>32</v>
      </c>
      <c r="J120" s="1"/>
    </row>
    <row r="121" spans="1:10">
      <c r="A121">
        <v>120</v>
      </c>
      <c r="B121" t="s">
        <v>425</v>
      </c>
      <c r="C121" t="s">
        <v>426</v>
      </c>
      <c r="D121" t="s">
        <v>427</v>
      </c>
      <c r="E121" s="41">
        <v>63.36</v>
      </c>
      <c r="F121" s="75">
        <v>2E-3</v>
      </c>
      <c r="G121" t="s">
        <v>52</v>
      </c>
      <c r="H121" t="s">
        <v>53</v>
      </c>
      <c r="I121" s="41" t="s">
        <v>32</v>
      </c>
      <c r="J121" s="1"/>
    </row>
    <row r="122" spans="1:10">
      <c r="A122">
        <v>121</v>
      </c>
      <c r="B122" t="s">
        <v>428</v>
      </c>
      <c r="C122" t="s">
        <v>429</v>
      </c>
      <c r="D122" t="s">
        <v>430</v>
      </c>
      <c r="E122" s="41">
        <v>79.03</v>
      </c>
      <c r="F122" s="75">
        <v>1.9E-3</v>
      </c>
      <c r="G122" t="s">
        <v>30</v>
      </c>
      <c r="H122" t="s">
        <v>42</v>
      </c>
      <c r="I122" s="41" t="s">
        <v>32</v>
      </c>
      <c r="J122" s="1"/>
    </row>
    <row r="123" spans="1:10">
      <c r="A123">
        <v>122</v>
      </c>
      <c r="B123" t="s">
        <v>264</v>
      </c>
      <c r="C123" t="s">
        <v>265</v>
      </c>
      <c r="D123" t="s">
        <v>266</v>
      </c>
      <c r="E123" s="41">
        <v>86.02</v>
      </c>
      <c r="F123" s="75">
        <v>1.9E-3</v>
      </c>
      <c r="G123" t="s">
        <v>123</v>
      </c>
      <c r="H123" t="s">
        <v>123</v>
      </c>
      <c r="I123" s="41" t="s">
        <v>32</v>
      </c>
      <c r="J123" s="1"/>
    </row>
    <row r="124" spans="1:10">
      <c r="A124">
        <v>123</v>
      </c>
      <c r="B124" t="s">
        <v>431</v>
      </c>
      <c r="C124" t="s">
        <v>432</v>
      </c>
      <c r="D124" t="s">
        <v>433</v>
      </c>
      <c r="E124" s="41">
        <v>72.12</v>
      </c>
      <c r="F124" s="75">
        <v>1.9E-3</v>
      </c>
      <c r="G124" t="s">
        <v>48</v>
      </c>
      <c r="H124" t="s">
        <v>63</v>
      </c>
      <c r="I124" s="41" t="s">
        <v>32</v>
      </c>
      <c r="J124" s="1"/>
    </row>
    <row r="125" spans="1:10">
      <c r="A125">
        <v>124</v>
      </c>
      <c r="B125" t="s">
        <v>187</v>
      </c>
      <c r="C125" t="s">
        <v>188</v>
      </c>
      <c r="D125" t="s">
        <v>189</v>
      </c>
      <c r="E125" s="41">
        <v>84.65</v>
      </c>
      <c r="F125" s="75">
        <v>1.9E-3</v>
      </c>
      <c r="G125" t="s">
        <v>48</v>
      </c>
      <c r="H125" t="s">
        <v>71</v>
      </c>
      <c r="I125" s="41" t="s">
        <v>32</v>
      </c>
      <c r="J125" s="1"/>
    </row>
    <row r="126" spans="1:10">
      <c r="A126">
        <v>125</v>
      </c>
      <c r="B126" t="s">
        <v>434</v>
      </c>
      <c r="C126" t="s">
        <v>435</v>
      </c>
      <c r="D126" t="s">
        <v>436</v>
      </c>
      <c r="E126" s="41">
        <v>72.87</v>
      </c>
      <c r="F126" s="75">
        <v>1.9E-3</v>
      </c>
      <c r="G126" t="s">
        <v>48</v>
      </c>
      <c r="H126" t="s">
        <v>71</v>
      </c>
      <c r="I126" s="41" t="s">
        <v>32</v>
      </c>
      <c r="J126" s="1"/>
    </row>
    <row r="127" spans="1:10">
      <c r="A127">
        <v>126</v>
      </c>
      <c r="B127" t="s">
        <v>437</v>
      </c>
      <c r="C127" t="s">
        <v>438</v>
      </c>
      <c r="D127" t="s">
        <v>439</v>
      </c>
      <c r="E127" s="41">
        <v>77.44</v>
      </c>
      <c r="F127" s="75">
        <v>6.9999999999999999E-4</v>
      </c>
      <c r="G127" t="s">
        <v>34</v>
      </c>
      <c r="H127" t="s">
        <v>33</v>
      </c>
      <c r="I127" s="41" t="s">
        <v>32</v>
      </c>
      <c r="J127" s="1"/>
    </row>
    <row r="128" spans="1:10">
      <c r="A128">
        <v>127</v>
      </c>
      <c r="B128" t="s">
        <v>261</v>
      </c>
      <c r="C128" t="s">
        <v>262</v>
      </c>
      <c r="D128" t="s">
        <v>263</v>
      </c>
      <c r="E128" s="41">
        <v>81.77</v>
      </c>
      <c r="F128" s="75">
        <v>1.9E-3</v>
      </c>
      <c r="G128" t="s">
        <v>115</v>
      </c>
      <c r="H128" t="s">
        <v>158</v>
      </c>
      <c r="I128" s="41" t="s">
        <v>32</v>
      </c>
      <c r="J128" s="1"/>
    </row>
    <row r="129" spans="1:10">
      <c r="A129">
        <v>128</v>
      </c>
      <c r="B129" t="s">
        <v>440</v>
      </c>
      <c r="C129" t="s">
        <v>441</v>
      </c>
      <c r="D129" t="s">
        <v>442</v>
      </c>
      <c r="E129" s="41">
        <v>41.21</v>
      </c>
      <c r="F129" s="75">
        <v>1.9E-3</v>
      </c>
      <c r="G129" t="s">
        <v>115</v>
      </c>
      <c r="H129" t="s">
        <v>158</v>
      </c>
      <c r="I129" s="41" t="s">
        <v>32</v>
      </c>
      <c r="J129" s="1"/>
    </row>
    <row r="130" spans="1:10">
      <c r="A130">
        <v>129</v>
      </c>
      <c r="B130" t="s">
        <v>443</v>
      </c>
      <c r="C130" t="s">
        <v>444</v>
      </c>
      <c r="D130" t="s">
        <v>430</v>
      </c>
      <c r="E130" s="41">
        <v>79.03</v>
      </c>
      <c r="F130" s="75">
        <v>1.8E-3</v>
      </c>
      <c r="G130" t="s">
        <v>30</v>
      </c>
      <c r="H130" t="s">
        <v>42</v>
      </c>
      <c r="I130" s="41" t="s">
        <v>32</v>
      </c>
      <c r="J130" s="1"/>
    </row>
    <row r="131" spans="1:10">
      <c r="A131">
        <v>130</v>
      </c>
      <c r="B131" t="s">
        <v>445</v>
      </c>
      <c r="C131" t="s">
        <v>446</v>
      </c>
      <c r="D131" t="s">
        <v>447</v>
      </c>
      <c r="E131" s="41">
        <v>74.150000000000006</v>
      </c>
      <c r="F131" s="75">
        <v>1.8E-3</v>
      </c>
      <c r="G131" t="s">
        <v>89</v>
      </c>
      <c r="H131" t="s">
        <v>89</v>
      </c>
      <c r="I131" s="41" t="s">
        <v>32</v>
      </c>
      <c r="J131" s="1"/>
    </row>
    <row r="132" spans="1:10">
      <c r="A132">
        <v>131</v>
      </c>
      <c r="B132" t="s">
        <v>448</v>
      </c>
      <c r="C132" t="s">
        <v>449</v>
      </c>
      <c r="D132" t="s">
        <v>450</v>
      </c>
      <c r="E132" s="41">
        <v>80.55</v>
      </c>
      <c r="F132" s="75">
        <v>1.8E-3</v>
      </c>
      <c r="G132" t="s">
        <v>48</v>
      </c>
      <c r="H132" t="s">
        <v>63</v>
      </c>
      <c r="I132" s="41" t="s">
        <v>32</v>
      </c>
      <c r="J132" s="1"/>
    </row>
    <row r="133" spans="1:10">
      <c r="A133">
        <v>132</v>
      </c>
      <c r="B133" t="s">
        <v>451</v>
      </c>
      <c r="C133" t="s">
        <v>452</v>
      </c>
      <c r="D133" t="s">
        <v>453</v>
      </c>
      <c r="E133" s="41">
        <v>81</v>
      </c>
      <c r="F133" s="75">
        <v>1.8E-3</v>
      </c>
      <c r="G133" t="s">
        <v>48</v>
      </c>
      <c r="H133" t="s">
        <v>63</v>
      </c>
      <c r="I133" s="41" t="s">
        <v>32</v>
      </c>
      <c r="J133" s="1"/>
    </row>
    <row r="134" spans="1:10">
      <c r="A134">
        <v>133</v>
      </c>
      <c r="B134" t="s">
        <v>454</v>
      </c>
      <c r="C134" t="s">
        <v>455</v>
      </c>
      <c r="D134" t="s">
        <v>439</v>
      </c>
      <c r="E134" s="41">
        <v>77.44</v>
      </c>
      <c r="F134" s="75">
        <v>4.0000000000000002E-4</v>
      </c>
      <c r="G134" t="s">
        <v>34</v>
      </c>
      <c r="H134" t="s">
        <v>33</v>
      </c>
      <c r="I134" s="41" t="s">
        <v>32</v>
      </c>
      <c r="J134" s="1"/>
    </row>
    <row r="135" spans="1:10">
      <c r="A135">
        <v>134</v>
      </c>
      <c r="B135" t="s">
        <v>456</v>
      </c>
      <c r="C135" t="s">
        <v>457</v>
      </c>
      <c r="D135" t="s">
        <v>458</v>
      </c>
      <c r="E135" s="41">
        <v>67.53</v>
      </c>
      <c r="F135" s="75">
        <v>1.8E-3</v>
      </c>
      <c r="G135" t="s">
        <v>34</v>
      </c>
      <c r="H135" t="s">
        <v>54</v>
      </c>
      <c r="I135" s="41" t="s">
        <v>32</v>
      </c>
      <c r="J135" s="1"/>
    </row>
    <row r="136" spans="1:10">
      <c r="A136">
        <v>135</v>
      </c>
      <c r="B136" t="s">
        <v>459</v>
      </c>
      <c r="C136" t="s">
        <v>460</v>
      </c>
      <c r="D136" t="s">
        <v>461</v>
      </c>
      <c r="E136" s="41">
        <v>82.38</v>
      </c>
      <c r="F136" s="75">
        <v>1.8E-3</v>
      </c>
      <c r="G136" t="s">
        <v>75</v>
      </c>
      <c r="H136" t="s">
        <v>103</v>
      </c>
      <c r="I136" s="41" t="s">
        <v>32</v>
      </c>
      <c r="J136" s="1"/>
    </row>
    <row r="137" spans="1:10">
      <c r="A137">
        <v>136</v>
      </c>
      <c r="B137" t="s">
        <v>462</v>
      </c>
      <c r="C137" t="s">
        <v>463</v>
      </c>
      <c r="D137" t="s">
        <v>464</v>
      </c>
      <c r="E137" s="41">
        <v>87.28</v>
      </c>
      <c r="F137" s="75">
        <v>1.8E-3</v>
      </c>
      <c r="G137" t="s">
        <v>75</v>
      </c>
      <c r="H137" t="s">
        <v>103</v>
      </c>
      <c r="I137" s="41" t="s">
        <v>32</v>
      </c>
      <c r="J137" s="1"/>
    </row>
    <row r="138" spans="1:10">
      <c r="A138">
        <v>137</v>
      </c>
      <c r="B138" t="s">
        <v>465</v>
      </c>
      <c r="C138" t="s">
        <v>466</v>
      </c>
      <c r="D138" t="s">
        <v>467</v>
      </c>
      <c r="E138" s="41">
        <v>86.85</v>
      </c>
      <c r="F138" s="75">
        <v>1.6999999999999999E-3</v>
      </c>
      <c r="G138" t="s">
        <v>48</v>
      </c>
      <c r="H138" t="s">
        <v>63</v>
      </c>
      <c r="I138" s="41" t="s">
        <v>32</v>
      </c>
      <c r="J138" s="1"/>
    </row>
    <row r="139" spans="1:10">
      <c r="A139">
        <v>138</v>
      </c>
      <c r="B139" t="s">
        <v>468</v>
      </c>
      <c r="C139" t="s">
        <v>469</v>
      </c>
      <c r="D139" t="s">
        <v>470</v>
      </c>
      <c r="E139" s="41">
        <v>81.33</v>
      </c>
      <c r="F139" s="75">
        <v>1.6999999999999999E-3</v>
      </c>
      <c r="G139" t="s">
        <v>59</v>
      </c>
      <c r="H139" t="s">
        <v>59</v>
      </c>
      <c r="I139" s="41" t="s">
        <v>32</v>
      </c>
      <c r="J139" s="1"/>
    </row>
    <row r="140" spans="1:10">
      <c r="A140">
        <v>139</v>
      </c>
      <c r="B140" t="s">
        <v>471</v>
      </c>
      <c r="C140" t="s">
        <v>472</v>
      </c>
      <c r="D140" t="s">
        <v>473</v>
      </c>
      <c r="E140" s="41">
        <v>76.37</v>
      </c>
      <c r="F140" s="75">
        <v>3.5999999999999999E-3</v>
      </c>
      <c r="G140" t="s">
        <v>34</v>
      </c>
      <c r="H140" t="s">
        <v>33</v>
      </c>
      <c r="I140" s="41" t="s">
        <v>32</v>
      </c>
      <c r="J140" s="1"/>
    </row>
    <row r="141" spans="1:10">
      <c r="A141">
        <v>140</v>
      </c>
      <c r="B141" t="s">
        <v>474</v>
      </c>
      <c r="C141" t="s">
        <v>475</v>
      </c>
      <c r="D141" t="s">
        <v>476</v>
      </c>
      <c r="E141" s="41">
        <v>75.33</v>
      </c>
      <c r="F141" s="75">
        <v>2.9999999999999997E-4</v>
      </c>
      <c r="G141" t="s">
        <v>34</v>
      </c>
      <c r="H141" t="s">
        <v>33</v>
      </c>
      <c r="I141" s="41" t="s">
        <v>32</v>
      </c>
      <c r="J141" s="1"/>
    </row>
    <row r="142" spans="1:10">
      <c r="A142">
        <v>141</v>
      </c>
      <c r="B142" t="s">
        <v>477</v>
      </c>
      <c r="C142" t="s">
        <v>478</v>
      </c>
      <c r="D142" t="s">
        <v>479</v>
      </c>
      <c r="E142" s="41">
        <v>66.69</v>
      </c>
      <c r="F142" s="75">
        <v>1.6999999999999999E-3</v>
      </c>
      <c r="G142" t="s">
        <v>52</v>
      </c>
      <c r="H142" t="s">
        <v>53</v>
      </c>
      <c r="I142" s="41" t="s">
        <v>32</v>
      </c>
      <c r="J142" s="1"/>
    </row>
    <row r="143" spans="1:10">
      <c r="A143">
        <v>142</v>
      </c>
      <c r="B143" t="s">
        <v>480</v>
      </c>
      <c r="C143" t="s">
        <v>481</v>
      </c>
      <c r="D143" t="s">
        <v>482</v>
      </c>
      <c r="E143" s="41">
        <v>56.15</v>
      </c>
      <c r="F143" s="75">
        <v>1.6000000000000001E-3</v>
      </c>
      <c r="G143" t="s">
        <v>89</v>
      </c>
      <c r="H143" t="s">
        <v>89</v>
      </c>
      <c r="I143" s="41" t="s">
        <v>32</v>
      </c>
      <c r="J143" s="1"/>
    </row>
    <row r="144" spans="1:10">
      <c r="A144">
        <v>143</v>
      </c>
      <c r="B144" t="s">
        <v>483</v>
      </c>
      <c r="C144" t="s">
        <v>484</v>
      </c>
      <c r="D144" t="s">
        <v>485</v>
      </c>
      <c r="E144" s="41">
        <v>55.15</v>
      </c>
      <c r="F144" s="75">
        <v>1.6000000000000001E-3</v>
      </c>
      <c r="G144" t="s">
        <v>48</v>
      </c>
      <c r="H144" t="s">
        <v>63</v>
      </c>
      <c r="I144" s="41" t="s">
        <v>32</v>
      </c>
      <c r="J144" s="1"/>
    </row>
    <row r="145" spans="1:10">
      <c r="A145">
        <v>144</v>
      </c>
      <c r="B145" t="s">
        <v>486</v>
      </c>
      <c r="C145" t="s">
        <v>487</v>
      </c>
      <c r="D145" t="s">
        <v>488</v>
      </c>
      <c r="E145" s="41">
        <v>76.2</v>
      </c>
      <c r="F145" s="75">
        <v>1.6000000000000001E-3</v>
      </c>
      <c r="G145" t="s">
        <v>59</v>
      </c>
      <c r="H145" t="s">
        <v>59</v>
      </c>
      <c r="I145" s="41" t="s">
        <v>32</v>
      </c>
      <c r="J145" s="1"/>
    </row>
    <row r="146" spans="1:10">
      <c r="A146">
        <v>145</v>
      </c>
      <c r="B146" t="s">
        <v>489</v>
      </c>
      <c r="C146" t="s">
        <v>490</v>
      </c>
      <c r="D146" t="s">
        <v>491</v>
      </c>
      <c r="E146" s="41">
        <v>86.49</v>
      </c>
      <c r="F146" s="75">
        <v>1.6000000000000001E-3</v>
      </c>
      <c r="G146" t="s">
        <v>59</v>
      </c>
      <c r="H146" t="s">
        <v>59</v>
      </c>
      <c r="I146" s="41" t="s">
        <v>32</v>
      </c>
      <c r="J146" s="1"/>
    </row>
    <row r="147" spans="1:10">
      <c r="A147">
        <v>146</v>
      </c>
      <c r="B147" t="s">
        <v>492</v>
      </c>
      <c r="C147" t="s">
        <v>493</v>
      </c>
      <c r="D147" t="s">
        <v>494</v>
      </c>
      <c r="E147" s="41">
        <v>74.48</v>
      </c>
      <c r="F147" s="75">
        <v>2.3999999999999998E-3</v>
      </c>
      <c r="G147" t="s">
        <v>34</v>
      </c>
      <c r="H147" t="s">
        <v>33</v>
      </c>
      <c r="I147" s="41" t="s">
        <v>32</v>
      </c>
      <c r="J147" s="1"/>
    </row>
    <row r="148" spans="1:10">
      <c r="A148">
        <v>147</v>
      </c>
      <c r="B148" t="s">
        <v>495</v>
      </c>
      <c r="C148" t="s">
        <v>496</v>
      </c>
      <c r="D148" t="s">
        <v>497</v>
      </c>
      <c r="E148" s="41">
        <v>74.03</v>
      </c>
      <c r="F148" s="75">
        <v>6.9999999999999999E-4</v>
      </c>
      <c r="G148" t="s">
        <v>34</v>
      </c>
      <c r="H148" t="s">
        <v>33</v>
      </c>
      <c r="I148" s="41" t="s">
        <v>32</v>
      </c>
      <c r="J148" s="1"/>
    </row>
    <row r="149" spans="1:10">
      <c r="A149">
        <v>148</v>
      </c>
      <c r="B149" t="s">
        <v>498</v>
      </c>
      <c r="C149" t="s">
        <v>499</v>
      </c>
      <c r="D149" t="s">
        <v>500</v>
      </c>
      <c r="E149" s="41">
        <v>73.959999999999994</v>
      </c>
      <c r="F149" s="75">
        <v>1.6000000000000001E-3</v>
      </c>
      <c r="G149" t="s">
        <v>34</v>
      </c>
      <c r="H149" t="s">
        <v>43</v>
      </c>
      <c r="I149" s="41" t="s">
        <v>32</v>
      </c>
      <c r="J149" s="1"/>
    </row>
    <row r="150" spans="1:10">
      <c r="A150">
        <v>149</v>
      </c>
      <c r="B150" t="s">
        <v>501</v>
      </c>
      <c r="C150" t="s">
        <v>502</v>
      </c>
      <c r="F150" s="75">
        <v>1.6000000000000001E-3</v>
      </c>
      <c r="G150" t="s">
        <v>98</v>
      </c>
      <c r="H150" t="s">
        <v>101</v>
      </c>
      <c r="I150" s="41" t="s">
        <v>102</v>
      </c>
      <c r="J150" s="1"/>
    </row>
    <row r="151" spans="1:10">
      <c r="A151">
        <v>150</v>
      </c>
      <c r="B151" t="s">
        <v>503</v>
      </c>
      <c r="C151" t="s">
        <v>504</v>
      </c>
      <c r="D151" t="s">
        <v>505</v>
      </c>
      <c r="E151" s="41">
        <v>82.48</v>
      </c>
      <c r="F151" s="75">
        <v>1.6000000000000001E-3</v>
      </c>
      <c r="G151" t="s">
        <v>75</v>
      </c>
      <c r="H151" t="s">
        <v>103</v>
      </c>
      <c r="I151" s="41" t="s">
        <v>32</v>
      </c>
      <c r="J151" s="1"/>
    </row>
    <row r="152" spans="1:10">
      <c r="A152">
        <v>151</v>
      </c>
      <c r="B152" t="s">
        <v>506</v>
      </c>
      <c r="C152" t="s">
        <v>507</v>
      </c>
      <c r="D152" t="s">
        <v>508</v>
      </c>
      <c r="E152" s="41">
        <v>77.28</v>
      </c>
      <c r="F152" s="75">
        <v>1.6000000000000001E-3</v>
      </c>
      <c r="G152" t="s">
        <v>115</v>
      </c>
      <c r="H152" t="s">
        <v>147</v>
      </c>
      <c r="I152" s="41" t="s">
        <v>32</v>
      </c>
      <c r="J152" s="1"/>
    </row>
    <row r="153" spans="1:10">
      <c r="A153">
        <v>152</v>
      </c>
      <c r="B153" t="s">
        <v>509</v>
      </c>
      <c r="C153" t="s">
        <v>510</v>
      </c>
      <c r="D153" t="s">
        <v>511</v>
      </c>
      <c r="E153" s="41">
        <v>86.96</v>
      </c>
      <c r="F153" s="75">
        <v>1.5E-3</v>
      </c>
      <c r="G153" t="s">
        <v>48</v>
      </c>
      <c r="H153" t="s">
        <v>63</v>
      </c>
      <c r="I153" s="41" t="s">
        <v>32</v>
      </c>
      <c r="J153" s="1"/>
    </row>
    <row r="154" spans="1:10">
      <c r="A154">
        <v>153</v>
      </c>
      <c r="B154" t="s">
        <v>512</v>
      </c>
      <c r="C154" t="s">
        <v>513</v>
      </c>
      <c r="D154" t="s">
        <v>514</v>
      </c>
      <c r="E154" s="41">
        <v>67.989999999999995</v>
      </c>
      <c r="F154" s="75">
        <v>1.5E-3</v>
      </c>
      <c r="G154" t="s">
        <v>48</v>
      </c>
      <c r="H154" t="s">
        <v>71</v>
      </c>
      <c r="I154" s="41" t="s">
        <v>32</v>
      </c>
      <c r="J154" s="1"/>
    </row>
    <row r="155" spans="1:10">
      <c r="A155">
        <v>154</v>
      </c>
      <c r="B155" t="s">
        <v>515</v>
      </c>
      <c r="C155" t="s">
        <v>516</v>
      </c>
      <c r="D155" t="s">
        <v>208</v>
      </c>
      <c r="E155" s="41">
        <v>85.83</v>
      </c>
      <c r="F155" s="75">
        <v>1.5E-3</v>
      </c>
      <c r="G155" t="s">
        <v>59</v>
      </c>
      <c r="H155" t="s">
        <v>59</v>
      </c>
      <c r="I155" s="41" t="s">
        <v>32</v>
      </c>
      <c r="J155" s="1"/>
    </row>
    <row r="156" spans="1:10">
      <c r="A156">
        <v>155</v>
      </c>
      <c r="B156" t="s">
        <v>517</v>
      </c>
      <c r="C156" t="s">
        <v>518</v>
      </c>
      <c r="D156" t="s">
        <v>519</v>
      </c>
      <c r="E156" s="41">
        <v>78.95</v>
      </c>
      <c r="F156" s="75">
        <v>1.5E-3</v>
      </c>
      <c r="G156" t="s">
        <v>34</v>
      </c>
      <c r="H156" t="s">
        <v>43</v>
      </c>
      <c r="I156" s="41" t="s">
        <v>32</v>
      </c>
      <c r="J156" s="1"/>
    </row>
    <row r="157" spans="1:10">
      <c r="A157">
        <v>156</v>
      </c>
      <c r="B157" t="s">
        <v>520</v>
      </c>
      <c r="C157" t="s">
        <v>521</v>
      </c>
      <c r="D157" t="s">
        <v>522</v>
      </c>
      <c r="E157" s="41">
        <v>71.260000000000005</v>
      </c>
      <c r="F157" s="75">
        <v>1.5E-3</v>
      </c>
      <c r="G157" t="s">
        <v>34</v>
      </c>
      <c r="H157" t="s">
        <v>43</v>
      </c>
      <c r="I157" s="41" t="s">
        <v>32</v>
      </c>
      <c r="J157" s="1"/>
    </row>
    <row r="158" spans="1:10">
      <c r="A158">
        <v>157</v>
      </c>
      <c r="B158" t="s">
        <v>523</v>
      </c>
      <c r="C158" t="s">
        <v>524</v>
      </c>
      <c r="D158" t="s">
        <v>525</v>
      </c>
      <c r="E158" s="41">
        <v>73.790000000000006</v>
      </c>
      <c r="F158" s="75">
        <v>1.5E-3</v>
      </c>
      <c r="G158" t="s">
        <v>75</v>
      </c>
      <c r="H158" t="s">
        <v>111</v>
      </c>
      <c r="I158" s="41" t="s">
        <v>32</v>
      </c>
      <c r="J158" s="1"/>
    </row>
    <row r="159" spans="1:10">
      <c r="A159">
        <v>158</v>
      </c>
      <c r="B159" t="s">
        <v>526</v>
      </c>
      <c r="C159" t="s">
        <v>527</v>
      </c>
      <c r="D159" t="s">
        <v>528</v>
      </c>
      <c r="E159" s="41">
        <v>84.64</v>
      </c>
      <c r="F159" s="75">
        <v>1.5E-3</v>
      </c>
      <c r="G159" t="s">
        <v>115</v>
      </c>
      <c r="H159" t="s">
        <v>147</v>
      </c>
      <c r="I159" s="41" t="s">
        <v>32</v>
      </c>
      <c r="J159" s="1"/>
    </row>
    <row r="160" spans="1:10">
      <c r="A160">
        <v>159</v>
      </c>
      <c r="B160" t="s">
        <v>529</v>
      </c>
      <c r="C160" t="s">
        <v>530</v>
      </c>
      <c r="D160" t="s">
        <v>531</v>
      </c>
      <c r="E160" s="41">
        <v>77.78</v>
      </c>
      <c r="F160" s="75">
        <v>1.4E-3</v>
      </c>
      <c r="G160" t="s">
        <v>48</v>
      </c>
      <c r="H160" t="s">
        <v>63</v>
      </c>
      <c r="I160" s="41" t="s">
        <v>32</v>
      </c>
      <c r="J160" s="1"/>
    </row>
    <row r="161" spans="1:10">
      <c r="A161">
        <v>160</v>
      </c>
      <c r="B161" t="s">
        <v>532</v>
      </c>
      <c r="C161" t="s">
        <v>533</v>
      </c>
      <c r="D161" t="s">
        <v>534</v>
      </c>
      <c r="E161" s="41">
        <v>79.97</v>
      </c>
      <c r="F161" s="75">
        <v>1.4E-3</v>
      </c>
      <c r="G161" t="s">
        <v>48</v>
      </c>
      <c r="H161" t="s">
        <v>71</v>
      </c>
      <c r="I161" s="41" t="s">
        <v>32</v>
      </c>
      <c r="J161" s="1"/>
    </row>
    <row r="162" spans="1:10">
      <c r="A162">
        <v>161</v>
      </c>
      <c r="B162" t="s">
        <v>535</v>
      </c>
      <c r="C162" t="s">
        <v>536</v>
      </c>
      <c r="D162" t="s">
        <v>537</v>
      </c>
      <c r="E162" s="41">
        <v>82.71</v>
      </c>
      <c r="F162" s="75">
        <v>1.4E-3</v>
      </c>
      <c r="G162" t="s">
        <v>59</v>
      </c>
      <c r="H162" t="s">
        <v>59</v>
      </c>
      <c r="I162" s="41" t="s">
        <v>32</v>
      </c>
      <c r="J162" s="1"/>
    </row>
    <row r="163" spans="1:10">
      <c r="A163">
        <v>162</v>
      </c>
      <c r="B163" t="s">
        <v>538</v>
      </c>
      <c r="C163" t="s">
        <v>539</v>
      </c>
      <c r="D163" t="s">
        <v>540</v>
      </c>
      <c r="E163" s="41">
        <v>73.7</v>
      </c>
      <c r="F163" s="75">
        <v>5.9999999999999995E-4</v>
      </c>
      <c r="G163" t="s">
        <v>34</v>
      </c>
      <c r="H163" t="s">
        <v>33</v>
      </c>
      <c r="I163" s="41" t="s">
        <v>32</v>
      </c>
      <c r="J163" s="1"/>
    </row>
    <row r="164" spans="1:10">
      <c r="A164">
        <v>163</v>
      </c>
      <c r="B164" t="s">
        <v>541</v>
      </c>
      <c r="C164" t="s">
        <v>542</v>
      </c>
      <c r="D164" t="s">
        <v>543</v>
      </c>
      <c r="E164" s="41">
        <v>81.96</v>
      </c>
      <c r="F164" s="75">
        <v>1.4E-3</v>
      </c>
      <c r="G164" t="s">
        <v>52</v>
      </c>
      <c r="H164" t="s">
        <v>53</v>
      </c>
      <c r="I164" s="41" t="s">
        <v>32</v>
      </c>
      <c r="J164" s="1"/>
    </row>
    <row r="165" spans="1:10">
      <c r="A165">
        <v>164</v>
      </c>
      <c r="B165" t="s">
        <v>544</v>
      </c>
      <c r="C165" t="s">
        <v>545</v>
      </c>
      <c r="D165" t="s">
        <v>546</v>
      </c>
      <c r="E165" s="41">
        <v>78.650000000000006</v>
      </c>
      <c r="F165" s="75">
        <v>1.4E-3</v>
      </c>
      <c r="G165" t="s">
        <v>75</v>
      </c>
      <c r="H165" t="s">
        <v>119</v>
      </c>
      <c r="I165" s="41" t="s">
        <v>32</v>
      </c>
      <c r="J165" s="1"/>
    </row>
    <row r="166" spans="1:10">
      <c r="A166">
        <v>165</v>
      </c>
      <c r="B166" t="s">
        <v>547</v>
      </c>
      <c r="C166" t="s">
        <v>548</v>
      </c>
      <c r="D166" t="s">
        <v>208</v>
      </c>
      <c r="E166" s="41">
        <v>85.83</v>
      </c>
      <c r="F166" s="75">
        <v>1.4E-3</v>
      </c>
      <c r="G166" t="s">
        <v>115</v>
      </c>
      <c r="H166" t="s">
        <v>147</v>
      </c>
      <c r="I166" s="41" t="s">
        <v>32</v>
      </c>
      <c r="J166" s="1"/>
    </row>
    <row r="167" spans="1:10">
      <c r="A167">
        <v>166</v>
      </c>
      <c r="B167" t="s">
        <v>549</v>
      </c>
      <c r="C167" t="s">
        <v>550</v>
      </c>
      <c r="D167" t="s">
        <v>551</v>
      </c>
      <c r="E167" s="41">
        <v>58.44</v>
      </c>
      <c r="F167" s="75">
        <v>1.2999999999999999E-3</v>
      </c>
      <c r="G167" t="s">
        <v>30</v>
      </c>
      <c r="H167" t="s">
        <v>31</v>
      </c>
      <c r="I167" s="41" t="s">
        <v>32</v>
      </c>
      <c r="J167" s="1"/>
    </row>
    <row r="168" spans="1:10">
      <c r="A168">
        <v>167</v>
      </c>
      <c r="B168" t="s">
        <v>552</v>
      </c>
      <c r="C168" t="s">
        <v>553</v>
      </c>
      <c r="D168" t="s">
        <v>554</v>
      </c>
      <c r="E168" s="41">
        <v>90.64</v>
      </c>
      <c r="F168" s="75">
        <v>1.2999999999999999E-3</v>
      </c>
      <c r="G168" t="s">
        <v>30</v>
      </c>
      <c r="H168" t="s">
        <v>42</v>
      </c>
      <c r="I168" s="41" t="s">
        <v>32</v>
      </c>
      <c r="J168" s="1"/>
    </row>
    <row r="169" spans="1:10">
      <c r="A169">
        <v>168</v>
      </c>
      <c r="B169" t="s">
        <v>555</v>
      </c>
      <c r="C169" t="s">
        <v>556</v>
      </c>
      <c r="D169" t="s">
        <v>557</v>
      </c>
      <c r="E169" s="41">
        <v>66.05</v>
      </c>
      <c r="F169" s="75">
        <v>1.2999999999999999E-3</v>
      </c>
      <c r="G169" t="s">
        <v>59</v>
      </c>
      <c r="H169" t="s">
        <v>59</v>
      </c>
      <c r="I169" s="41" t="s">
        <v>32</v>
      </c>
      <c r="J169" s="1"/>
    </row>
    <row r="170" spans="1:10">
      <c r="A170">
        <v>169</v>
      </c>
      <c r="B170" t="s">
        <v>558</v>
      </c>
      <c r="C170" t="s">
        <v>559</v>
      </c>
      <c r="D170" t="s">
        <v>560</v>
      </c>
      <c r="E170" s="41">
        <v>73.23</v>
      </c>
      <c r="F170" s="75">
        <v>1.8E-3</v>
      </c>
      <c r="G170" t="s">
        <v>34</v>
      </c>
      <c r="H170" t="s">
        <v>33</v>
      </c>
      <c r="I170" s="41" t="s">
        <v>32</v>
      </c>
      <c r="J170" s="1"/>
    </row>
    <row r="171" spans="1:10">
      <c r="A171">
        <v>170</v>
      </c>
      <c r="B171" t="s">
        <v>561</v>
      </c>
      <c r="C171" t="s">
        <v>562</v>
      </c>
      <c r="D171" t="s">
        <v>114</v>
      </c>
      <c r="E171" s="41">
        <v>82.75</v>
      </c>
      <c r="F171" s="75">
        <v>1.2999999999999999E-3</v>
      </c>
      <c r="G171" t="s">
        <v>115</v>
      </c>
      <c r="H171" t="s">
        <v>147</v>
      </c>
      <c r="I171" s="41" t="s">
        <v>32</v>
      </c>
      <c r="J171" s="1"/>
    </row>
    <row r="172" spans="1:10">
      <c r="A172">
        <v>171</v>
      </c>
      <c r="B172" t="s">
        <v>563</v>
      </c>
      <c r="C172" t="s">
        <v>564</v>
      </c>
      <c r="D172" t="s">
        <v>565</v>
      </c>
      <c r="E172" s="41">
        <v>50.94</v>
      </c>
      <c r="F172" s="75">
        <v>1.1999999999999999E-3</v>
      </c>
      <c r="G172" t="s">
        <v>48</v>
      </c>
      <c r="H172" t="s">
        <v>63</v>
      </c>
      <c r="I172" s="41" t="s">
        <v>32</v>
      </c>
      <c r="J172" s="1"/>
    </row>
    <row r="173" spans="1:10">
      <c r="A173">
        <v>172</v>
      </c>
      <c r="B173" t="s">
        <v>566</v>
      </c>
      <c r="C173" t="s">
        <v>567</v>
      </c>
      <c r="D173" t="s">
        <v>568</v>
      </c>
      <c r="E173" s="41">
        <v>61.84</v>
      </c>
      <c r="F173" s="75">
        <v>1.1999999999999999E-3</v>
      </c>
      <c r="G173" t="s">
        <v>48</v>
      </c>
      <c r="H173" t="s">
        <v>63</v>
      </c>
      <c r="I173" s="41" t="s">
        <v>32</v>
      </c>
      <c r="J173" s="1"/>
    </row>
    <row r="174" spans="1:10">
      <c r="A174">
        <v>173</v>
      </c>
      <c r="B174" t="s">
        <v>569</v>
      </c>
      <c r="C174" t="s">
        <v>570</v>
      </c>
      <c r="D174" t="s">
        <v>571</v>
      </c>
      <c r="E174" s="41">
        <v>85.25</v>
      </c>
      <c r="F174" s="75">
        <v>1.1999999999999999E-3</v>
      </c>
      <c r="G174" t="s">
        <v>48</v>
      </c>
      <c r="H174" t="s">
        <v>71</v>
      </c>
      <c r="I174" s="41" t="s">
        <v>32</v>
      </c>
      <c r="J174" s="1"/>
    </row>
    <row r="175" spans="1:10">
      <c r="A175">
        <v>174</v>
      </c>
      <c r="B175" t="s">
        <v>572</v>
      </c>
      <c r="C175" t="s">
        <v>573</v>
      </c>
      <c r="D175" t="s">
        <v>574</v>
      </c>
      <c r="E175" s="41">
        <v>69.540000000000006</v>
      </c>
      <c r="F175" s="75">
        <v>1.1999999999999999E-3</v>
      </c>
      <c r="G175" t="s">
        <v>59</v>
      </c>
      <c r="H175" t="s">
        <v>59</v>
      </c>
      <c r="I175" s="41" t="s">
        <v>32</v>
      </c>
      <c r="J175" s="1"/>
    </row>
    <row r="176" spans="1:10">
      <c r="A176">
        <v>175</v>
      </c>
      <c r="B176" t="s">
        <v>575</v>
      </c>
      <c r="C176" t="s">
        <v>576</v>
      </c>
      <c r="D176" t="s">
        <v>577</v>
      </c>
      <c r="E176" s="41">
        <v>82.58</v>
      </c>
      <c r="F176" s="75">
        <v>1.1999999999999999E-3</v>
      </c>
      <c r="G176" t="s">
        <v>59</v>
      </c>
      <c r="H176" t="s">
        <v>59</v>
      </c>
      <c r="I176" s="41" t="s">
        <v>32</v>
      </c>
      <c r="J176" s="1"/>
    </row>
    <row r="177" spans="1:10">
      <c r="A177">
        <v>176</v>
      </c>
      <c r="B177" t="s">
        <v>578</v>
      </c>
      <c r="C177" t="s">
        <v>579</v>
      </c>
      <c r="D177" t="s">
        <v>580</v>
      </c>
      <c r="E177" s="41">
        <v>72.53</v>
      </c>
      <c r="F177" s="75">
        <v>1.1999999999999999E-3</v>
      </c>
      <c r="G177" t="s">
        <v>59</v>
      </c>
      <c r="H177" t="s">
        <v>59</v>
      </c>
      <c r="I177" s="41" t="s">
        <v>32</v>
      </c>
      <c r="J177" s="1"/>
    </row>
    <row r="178" spans="1:10">
      <c r="A178">
        <v>177</v>
      </c>
      <c r="B178" t="s">
        <v>581</v>
      </c>
      <c r="C178" t="s">
        <v>582</v>
      </c>
      <c r="D178" t="s">
        <v>583</v>
      </c>
      <c r="E178" s="41">
        <v>73.680000000000007</v>
      </c>
      <c r="F178" s="75">
        <v>1.1999999999999999E-3</v>
      </c>
      <c r="G178" t="s">
        <v>34</v>
      </c>
      <c r="H178" t="s">
        <v>43</v>
      </c>
      <c r="I178" s="41" t="s">
        <v>32</v>
      </c>
      <c r="J178" s="1"/>
    </row>
    <row r="179" spans="1:10">
      <c r="A179">
        <v>178</v>
      </c>
      <c r="B179" t="s">
        <v>584</v>
      </c>
      <c r="C179" t="s">
        <v>585</v>
      </c>
      <c r="D179" t="s">
        <v>586</v>
      </c>
      <c r="E179" s="41">
        <v>72.709999999999994</v>
      </c>
      <c r="F179" s="75">
        <v>8.9999999999999993E-3</v>
      </c>
      <c r="G179" t="s">
        <v>34</v>
      </c>
      <c r="H179" t="s">
        <v>33</v>
      </c>
      <c r="I179" s="41" t="s">
        <v>32</v>
      </c>
      <c r="J179" s="1"/>
    </row>
    <row r="180" spans="1:10">
      <c r="A180">
        <v>179</v>
      </c>
      <c r="B180" t="s">
        <v>246</v>
      </c>
      <c r="C180" t="s">
        <v>247</v>
      </c>
      <c r="D180" t="s">
        <v>248</v>
      </c>
      <c r="E180" s="41">
        <v>69.03</v>
      </c>
      <c r="F180" s="75">
        <v>1.1999999999999999E-3</v>
      </c>
      <c r="G180" t="s">
        <v>98</v>
      </c>
      <c r="H180" t="s">
        <v>148</v>
      </c>
      <c r="I180" s="41" t="s">
        <v>32</v>
      </c>
      <c r="J180" s="1"/>
    </row>
    <row r="181" spans="1:10">
      <c r="A181">
        <v>180</v>
      </c>
      <c r="B181" t="s">
        <v>587</v>
      </c>
      <c r="C181" t="s">
        <v>588</v>
      </c>
      <c r="D181" t="s">
        <v>589</v>
      </c>
      <c r="E181" s="41">
        <v>79.540000000000006</v>
      </c>
      <c r="F181" s="75">
        <v>1.1999999999999999E-3</v>
      </c>
      <c r="G181" t="s">
        <v>52</v>
      </c>
      <c r="H181" t="s">
        <v>53</v>
      </c>
      <c r="I181" s="41" t="s">
        <v>32</v>
      </c>
      <c r="J181" s="1"/>
    </row>
    <row r="182" spans="1:10">
      <c r="A182">
        <v>181</v>
      </c>
      <c r="B182" t="s">
        <v>590</v>
      </c>
      <c r="C182" t="s">
        <v>591</v>
      </c>
      <c r="D182" t="s">
        <v>592</v>
      </c>
      <c r="E182" s="41">
        <v>67.510000000000005</v>
      </c>
      <c r="F182" s="75">
        <v>1.1000000000000001E-3</v>
      </c>
      <c r="G182" t="s">
        <v>115</v>
      </c>
      <c r="H182" t="s">
        <v>147</v>
      </c>
      <c r="I182" s="41" t="s">
        <v>32</v>
      </c>
      <c r="J182" s="1"/>
    </row>
    <row r="183" spans="1:10">
      <c r="A183">
        <v>182</v>
      </c>
      <c r="B183" t="s">
        <v>593</v>
      </c>
      <c r="C183" t="s">
        <v>594</v>
      </c>
      <c r="D183" t="s">
        <v>595</v>
      </c>
      <c r="E183" s="41">
        <v>75.63</v>
      </c>
      <c r="F183" s="75">
        <v>1.1000000000000001E-3</v>
      </c>
      <c r="G183" t="s">
        <v>107</v>
      </c>
      <c r="H183" t="s">
        <v>107</v>
      </c>
      <c r="I183" s="41" t="s">
        <v>32</v>
      </c>
      <c r="J183" s="1"/>
    </row>
    <row r="184" spans="1:10">
      <c r="A184">
        <v>183</v>
      </c>
      <c r="B184" t="s">
        <v>596</v>
      </c>
      <c r="C184" t="s">
        <v>597</v>
      </c>
      <c r="D184" t="s">
        <v>598</v>
      </c>
      <c r="E184" s="41">
        <v>86.86</v>
      </c>
      <c r="F184" s="75">
        <v>1.1000000000000001E-3</v>
      </c>
      <c r="G184" t="s">
        <v>89</v>
      </c>
      <c r="H184" t="s">
        <v>89</v>
      </c>
      <c r="I184" s="41" t="s">
        <v>102</v>
      </c>
      <c r="J184" s="1"/>
    </row>
    <row r="185" spans="1:10">
      <c r="A185">
        <v>184</v>
      </c>
      <c r="B185" t="s">
        <v>599</v>
      </c>
      <c r="C185" t="s">
        <v>600</v>
      </c>
      <c r="D185" t="s">
        <v>601</v>
      </c>
      <c r="E185" s="41">
        <v>76.41</v>
      </c>
      <c r="F185" s="75">
        <v>1.1000000000000001E-3</v>
      </c>
      <c r="G185" t="s">
        <v>89</v>
      </c>
      <c r="H185" t="s">
        <v>89</v>
      </c>
      <c r="I185" s="41" t="s">
        <v>32</v>
      </c>
      <c r="J185" s="1"/>
    </row>
    <row r="186" spans="1:10">
      <c r="A186">
        <v>185</v>
      </c>
      <c r="B186" t="s">
        <v>602</v>
      </c>
      <c r="C186" t="s">
        <v>603</v>
      </c>
      <c r="D186" t="s">
        <v>604</v>
      </c>
      <c r="E186" s="41">
        <v>83.65</v>
      </c>
      <c r="F186" s="75">
        <v>1.1000000000000001E-3</v>
      </c>
      <c r="G186" t="s">
        <v>89</v>
      </c>
      <c r="H186" t="s">
        <v>89</v>
      </c>
      <c r="I186" s="41" t="s">
        <v>32</v>
      </c>
      <c r="J186" s="1"/>
    </row>
    <row r="187" spans="1:10">
      <c r="A187">
        <v>186</v>
      </c>
      <c r="B187" t="s">
        <v>605</v>
      </c>
      <c r="C187" t="s">
        <v>606</v>
      </c>
      <c r="D187" t="s">
        <v>607</v>
      </c>
      <c r="E187" s="41">
        <v>64.88</v>
      </c>
      <c r="F187" s="75">
        <v>1.1000000000000001E-3</v>
      </c>
      <c r="G187" t="s">
        <v>48</v>
      </c>
      <c r="H187" t="s">
        <v>71</v>
      </c>
      <c r="I187" s="41" t="s">
        <v>32</v>
      </c>
      <c r="J187" s="1"/>
    </row>
    <row r="188" spans="1:10">
      <c r="A188">
        <v>187</v>
      </c>
      <c r="B188" t="s">
        <v>608</v>
      </c>
      <c r="C188" t="s">
        <v>609</v>
      </c>
      <c r="D188" t="s">
        <v>610</v>
      </c>
      <c r="E188" s="41">
        <v>69.08</v>
      </c>
      <c r="F188" s="75">
        <v>1.1000000000000001E-3</v>
      </c>
      <c r="G188" t="s">
        <v>48</v>
      </c>
      <c r="H188" t="s">
        <v>63</v>
      </c>
      <c r="I188" s="41" t="s">
        <v>32</v>
      </c>
      <c r="J188" s="1"/>
    </row>
    <row r="189" spans="1:10">
      <c r="A189">
        <v>188</v>
      </c>
      <c r="B189" t="s">
        <v>611</v>
      </c>
      <c r="C189" t="s">
        <v>612</v>
      </c>
      <c r="D189" t="s">
        <v>613</v>
      </c>
      <c r="E189" s="41">
        <v>57.35</v>
      </c>
      <c r="F189" s="75">
        <v>1.1000000000000001E-3</v>
      </c>
      <c r="G189" t="s">
        <v>48</v>
      </c>
      <c r="H189" t="s">
        <v>63</v>
      </c>
      <c r="I189" s="41" t="s">
        <v>32</v>
      </c>
      <c r="J189" s="1"/>
    </row>
    <row r="190" spans="1:10">
      <c r="A190">
        <v>189</v>
      </c>
      <c r="B190" t="s">
        <v>614</v>
      </c>
      <c r="C190" t="s">
        <v>615</v>
      </c>
      <c r="D190" t="s">
        <v>616</v>
      </c>
      <c r="E190" s="41">
        <v>85.75</v>
      </c>
      <c r="F190" s="75">
        <v>1.1000000000000001E-3</v>
      </c>
      <c r="G190" t="s">
        <v>48</v>
      </c>
      <c r="H190" t="s">
        <v>63</v>
      </c>
      <c r="I190" s="41" t="s">
        <v>32</v>
      </c>
      <c r="J190" s="1"/>
    </row>
    <row r="191" spans="1:10">
      <c r="A191">
        <v>190</v>
      </c>
      <c r="B191" t="s">
        <v>617</v>
      </c>
      <c r="C191" t="s">
        <v>618</v>
      </c>
      <c r="D191" t="s">
        <v>619</v>
      </c>
      <c r="E191" s="41">
        <v>75.790000000000006</v>
      </c>
      <c r="F191" s="75">
        <v>1.1000000000000001E-3</v>
      </c>
      <c r="G191" t="s">
        <v>59</v>
      </c>
      <c r="H191" t="s">
        <v>59</v>
      </c>
      <c r="I191" s="41" t="s">
        <v>32</v>
      </c>
      <c r="J191" s="1"/>
    </row>
    <row r="192" spans="1:10">
      <c r="A192">
        <v>191</v>
      </c>
      <c r="B192" t="s">
        <v>620</v>
      </c>
      <c r="C192" t="s">
        <v>621</v>
      </c>
      <c r="D192" t="s">
        <v>622</v>
      </c>
      <c r="E192" s="41">
        <v>68.069999999999993</v>
      </c>
      <c r="F192" s="75">
        <v>1.1000000000000001E-3</v>
      </c>
      <c r="G192" t="s">
        <v>34</v>
      </c>
      <c r="H192" t="s">
        <v>54</v>
      </c>
      <c r="I192" s="41" t="s">
        <v>32</v>
      </c>
      <c r="J192" s="1"/>
    </row>
    <row r="193" spans="1:10">
      <c r="A193">
        <v>192</v>
      </c>
      <c r="B193" t="s">
        <v>623</v>
      </c>
      <c r="C193" t="s">
        <v>624</v>
      </c>
      <c r="D193" t="s">
        <v>625</v>
      </c>
      <c r="E193" s="41">
        <v>66.819999999999993</v>
      </c>
      <c r="F193" s="75">
        <v>1.1000000000000001E-3</v>
      </c>
      <c r="G193" t="s">
        <v>34</v>
      </c>
      <c r="H193" t="s">
        <v>54</v>
      </c>
      <c r="I193" s="41" t="s">
        <v>32</v>
      </c>
      <c r="J193" s="1"/>
    </row>
    <row r="194" spans="1:10">
      <c r="A194">
        <v>193</v>
      </c>
      <c r="B194" t="s">
        <v>626</v>
      </c>
      <c r="C194" t="s">
        <v>627</v>
      </c>
      <c r="D194" t="s">
        <v>586</v>
      </c>
      <c r="E194" s="41">
        <v>72.709999999999994</v>
      </c>
      <c r="F194" s="75">
        <v>1.1999999999999999E-3</v>
      </c>
      <c r="G194" t="s">
        <v>34</v>
      </c>
      <c r="H194" t="s">
        <v>33</v>
      </c>
      <c r="I194" s="41" t="s">
        <v>32</v>
      </c>
      <c r="J194" s="1"/>
    </row>
    <row r="195" spans="1:10">
      <c r="A195">
        <v>194</v>
      </c>
      <c r="B195" t="s">
        <v>628</v>
      </c>
      <c r="C195" t="s">
        <v>629</v>
      </c>
      <c r="F195" s="75">
        <v>1.1000000000000001E-3</v>
      </c>
      <c r="G195" t="s">
        <v>98</v>
      </c>
      <c r="H195" t="s">
        <v>101</v>
      </c>
      <c r="I195" s="41" t="s">
        <v>102</v>
      </c>
      <c r="J195" s="1"/>
    </row>
    <row r="196" spans="1:10">
      <c r="A196">
        <v>195</v>
      </c>
      <c r="B196" t="s">
        <v>630</v>
      </c>
      <c r="C196" t="s">
        <v>631</v>
      </c>
      <c r="D196" t="s">
        <v>632</v>
      </c>
      <c r="E196" s="41">
        <v>73.86</v>
      </c>
      <c r="F196" s="75">
        <v>1.1000000000000001E-3</v>
      </c>
      <c r="G196" t="s">
        <v>52</v>
      </c>
      <c r="H196" t="s">
        <v>53</v>
      </c>
      <c r="I196" s="41" t="s">
        <v>32</v>
      </c>
      <c r="J196" s="1"/>
    </row>
    <row r="197" spans="1:10">
      <c r="A197">
        <v>196</v>
      </c>
      <c r="B197" t="s">
        <v>633</v>
      </c>
      <c r="C197" t="s">
        <v>634</v>
      </c>
      <c r="D197" t="s">
        <v>635</v>
      </c>
      <c r="E197" s="41">
        <v>73.959999999999994</v>
      </c>
      <c r="F197" s="75">
        <v>1.1000000000000001E-3</v>
      </c>
      <c r="G197" t="s">
        <v>75</v>
      </c>
      <c r="H197" t="s">
        <v>111</v>
      </c>
      <c r="I197" s="41" t="s">
        <v>32</v>
      </c>
      <c r="J197" s="1"/>
    </row>
    <row r="198" spans="1:10">
      <c r="A198">
        <v>197</v>
      </c>
      <c r="B198" t="s">
        <v>636</v>
      </c>
      <c r="C198" t="s">
        <v>637</v>
      </c>
      <c r="D198" t="s">
        <v>638</v>
      </c>
      <c r="E198" s="41">
        <v>76.150000000000006</v>
      </c>
      <c r="F198" s="75">
        <v>1.1000000000000001E-3</v>
      </c>
      <c r="G198" t="s">
        <v>75</v>
      </c>
      <c r="H198" t="s">
        <v>103</v>
      </c>
      <c r="I198" s="41" t="s">
        <v>32</v>
      </c>
      <c r="J198" s="1"/>
    </row>
    <row r="199" spans="1:10">
      <c r="A199">
        <v>198</v>
      </c>
      <c r="B199" t="s">
        <v>639</v>
      </c>
      <c r="C199" t="s">
        <v>640</v>
      </c>
      <c r="D199" t="s">
        <v>641</v>
      </c>
      <c r="E199" s="41">
        <v>78.02</v>
      </c>
      <c r="F199" s="75">
        <v>1.1000000000000001E-3</v>
      </c>
      <c r="G199" t="s">
        <v>115</v>
      </c>
      <c r="H199" t="s">
        <v>158</v>
      </c>
      <c r="I199" s="41" t="s">
        <v>32</v>
      </c>
      <c r="J199" s="1"/>
    </row>
    <row r="200" spans="1:10">
      <c r="A200">
        <v>199</v>
      </c>
      <c r="B200" t="s">
        <v>642</v>
      </c>
      <c r="C200" t="s">
        <v>643</v>
      </c>
      <c r="D200" s="26" t="s">
        <v>644</v>
      </c>
      <c r="E200" s="73">
        <v>78.260000000000005</v>
      </c>
      <c r="F200" s="75">
        <v>1E-3</v>
      </c>
      <c r="G200" t="s">
        <v>89</v>
      </c>
      <c r="H200" t="s">
        <v>89</v>
      </c>
      <c r="I200" s="41" t="s">
        <v>32</v>
      </c>
      <c r="J200" s="1"/>
    </row>
    <row r="201" spans="1:10">
      <c r="A201">
        <v>200</v>
      </c>
      <c r="B201" t="s">
        <v>645</v>
      </c>
      <c r="C201" t="s">
        <v>646</v>
      </c>
      <c r="D201" t="s">
        <v>647</v>
      </c>
      <c r="E201" s="41">
        <v>80.23</v>
      </c>
      <c r="F201" s="75">
        <v>1E-3</v>
      </c>
      <c r="G201" t="s">
        <v>48</v>
      </c>
      <c r="H201" t="s">
        <v>71</v>
      </c>
      <c r="I201" s="41" t="s">
        <v>32</v>
      </c>
      <c r="J201" s="1"/>
    </row>
    <row r="202" spans="1:10">
      <c r="A202">
        <v>201</v>
      </c>
      <c r="B202" t="s">
        <v>648</v>
      </c>
      <c r="C202" t="s">
        <v>649</v>
      </c>
      <c r="D202" t="s">
        <v>650</v>
      </c>
      <c r="E202" s="41">
        <v>72.42</v>
      </c>
      <c r="F202" s="75">
        <v>2.9999999999999997E-4</v>
      </c>
      <c r="G202" t="s">
        <v>34</v>
      </c>
      <c r="H202" t="s">
        <v>33</v>
      </c>
      <c r="I202" s="41" t="s">
        <v>32</v>
      </c>
      <c r="J202" s="1"/>
    </row>
    <row r="203" spans="1:10">
      <c r="A203">
        <v>202</v>
      </c>
      <c r="B203" t="s">
        <v>651</v>
      </c>
      <c r="C203" t="s">
        <v>652</v>
      </c>
      <c r="D203" t="s">
        <v>653</v>
      </c>
      <c r="E203" s="41">
        <v>76.13</v>
      </c>
      <c r="F203" s="75">
        <v>1E-3</v>
      </c>
      <c r="G203" t="s">
        <v>52</v>
      </c>
      <c r="H203" t="s">
        <v>53</v>
      </c>
      <c r="I203" s="41" t="s">
        <v>32</v>
      </c>
      <c r="J203" s="1"/>
    </row>
    <row r="204" spans="1:10">
      <c r="A204">
        <v>203</v>
      </c>
      <c r="B204" t="s">
        <v>654</v>
      </c>
      <c r="C204" t="s">
        <v>655</v>
      </c>
      <c r="D204" t="s">
        <v>656</v>
      </c>
      <c r="E204" s="41">
        <v>73.97</v>
      </c>
      <c r="F204" s="75">
        <v>1E-3</v>
      </c>
      <c r="G204" t="s">
        <v>52</v>
      </c>
      <c r="H204" t="s">
        <v>53</v>
      </c>
      <c r="I204" s="41" t="s">
        <v>32</v>
      </c>
      <c r="J204" s="1"/>
    </row>
    <row r="205" spans="1:10">
      <c r="A205">
        <v>204</v>
      </c>
      <c r="B205" t="s">
        <v>657</v>
      </c>
      <c r="C205" t="s">
        <v>658</v>
      </c>
      <c r="D205" t="s">
        <v>659</v>
      </c>
      <c r="E205" s="41">
        <v>66.27</v>
      </c>
      <c r="F205" s="75">
        <v>1E-3</v>
      </c>
      <c r="G205" t="s">
        <v>52</v>
      </c>
      <c r="H205" t="s">
        <v>53</v>
      </c>
      <c r="I205" s="41" t="s">
        <v>32</v>
      </c>
      <c r="J205" s="1"/>
    </row>
    <row r="206" spans="1:10">
      <c r="A206">
        <v>205</v>
      </c>
      <c r="B206" t="s">
        <v>660</v>
      </c>
      <c r="C206" t="s">
        <v>661</v>
      </c>
      <c r="D206" t="s">
        <v>662</v>
      </c>
      <c r="E206" s="41">
        <v>72.42</v>
      </c>
      <c r="F206" s="75">
        <v>1E-3</v>
      </c>
      <c r="G206" t="s">
        <v>75</v>
      </c>
      <c r="H206" t="s">
        <v>111</v>
      </c>
      <c r="I206" s="41" t="s">
        <v>32</v>
      </c>
      <c r="J206" s="1"/>
    </row>
    <row r="207" spans="1:10">
      <c r="A207">
        <v>206</v>
      </c>
      <c r="B207" t="s">
        <v>663</v>
      </c>
      <c r="C207" t="s">
        <v>664</v>
      </c>
      <c r="D207" s="26" t="s">
        <v>665</v>
      </c>
      <c r="E207" s="73">
        <v>94.7</v>
      </c>
      <c r="F207" s="75">
        <v>8.9999999999999998E-4</v>
      </c>
      <c r="G207" t="s">
        <v>107</v>
      </c>
      <c r="H207" t="s">
        <v>107</v>
      </c>
      <c r="I207" s="41" t="s">
        <v>102</v>
      </c>
      <c r="J207" s="1"/>
    </row>
    <row r="208" spans="1:10">
      <c r="A208">
        <v>207</v>
      </c>
      <c r="B208" t="s">
        <v>666</v>
      </c>
      <c r="C208" t="s">
        <v>667</v>
      </c>
      <c r="D208" t="s">
        <v>668</v>
      </c>
      <c r="E208" s="41">
        <v>70.94</v>
      </c>
      <c r="F208" s="75">
        <v>8.9999999999999998E-4</v>
      </c>
      <c r="G208" t="s">
        <v>30</v>
      </c>
      <c r="H208" t="s">
        <v>42</v>
      </c>
      <c r="I208" s="41" t="s">
        <v>32</v>
      </c>
      <c r="J208" s="1"/>
    </row>
    <row r="209" spans="1:10">
      <c r="A209">
        <v>208</v>
      </c>
      <c r="B209" t="s">
        <v>669</v>
      </c>
      <c r="C209" t="s">
        <v>670</v>
      </c>
      <c r="D209" t="s">
        <v>671</v>
      </c>
      <c r="E209" s="41">
        <v>60.95</v>
      </c>
      <c r="F209" s="75">
        <v>8.9999999999999998E-4</v>
      </c>
      <c r="G209" t="s">
        <v>123</v>
      </c>
      <c r="H209" t="s">
        <v>123</v>
      </c>
      <c r="I209" s="41" t="s">
        <v>32</v>
      </c>
      <c r="J209" s="1"/>
    </row>
    <row r="210" spans="1:10">
      <c r="A210">
        <v>209</v>
      </c>
      <c r="B210" t="s">
        <v>672</v>
      </c>
      <c r="C210" t="s">
        <v>673</v>
      </c>
      <c r="D210" t="s">
        <v>674</v>
      </c>
      <c r="E210" s="41">
        <v>73.11</v>
      </c>
      <c r="F210" s="75">
        <v>8.9999999999999998E-4</v>
      </c>
      <c r="G210" t="s">
        <v>89</v>
      </c>
      <c r="H210" t="s">
        <v>89</v>
      </c>
      <c r="I210" s="41" t="s">
        <v>32</v>
      </c>
      <c r="J210" s="1"/>
    </row>
    <row r="211" spans="1:10">
      <c r="A211">
        <v>210</v>
      </c>
      <c r="B211" t="s">
        <v>675</v>
      </c>
      <c r="C211" t="s">
        <v>676</v>
      </c>
      <c r="D211" t="s">
        <v>677</v>
      </c>
      <c r="E211" s="41">
        <v>81.33</v>
      </c>
      <c r="F211" s="75">
        <v>8.9999999999999998E-4</v>
      </c>
      <c r="G211" t="s">
        <v>48</v>
      </c>
      <c r="H211" t="s">
        <v>71</v>
      </c>
      <c r="I211" s="41" t="s">
        <v>32</v>
      </c>
      <c r="J211" s="1"/>
    </row>
    <row r="212" spans="1:10">
      <c r="A212">
        <v>211</v>
      </c>
      <c r="B212" t="s">
        <v>678</v>
      </c>
      <c r="C212" t="s">
        <v>679</v>
      </c>
      <c r="D212" t="s">
        <v>680</v>
      </c>
      <c r="E212" s="41">
        <v>69.86</v>
      </c>
      <c r="F212" s="75">
        <v>8.9999999999999998E-4</v>
      </c>
      <c r="G212" t="s">
        <v>48</v>
      </c>
      <c r="H212" t="s">
        <v>71</v>
      </c>
      <c r="I212" s="41" t="s">
        <v>32</v>
      </c>
      <c r="J212" s="1"/>
    </row>
    <row r="213" spans="1:10">
      <c r="A213">
        <v>212</v>
      </c>
      <c r="B213" t="s">
        <v>681</v>
      </c>
      <c r="C213" t="s">
        <v>682</v>
      </c>
      <c r="D213" t="s">
        <v>683</v>
      </c>
      <c r="E213" s="41">
        <v>76.599999999999994</v>
      </c>
      <c r="F213" s="75">
        <v>8.9999999999999998E-4</v>
      </c>
      <c r="G213" t="s">
        <v>48</v>
      </c>
      <c r="H213" t="s">
        <v>71</v>
      </c>
      <c r="I213" s="41" t="s">
        <v>32</v>
      </c>
      <c r="J213" s="1"/>
    </row>
    <row r="214" spans="1:10">
      <c r="A214">
        <v>213</v>
      </c>
      <c r="B214" t="s">
        <v>684</v>
      </c>
      <c r="C214" t="s">
        <v>685</v>
      </c>
      <c r="D214" t="s">
        <v>686</v>
      </c>
      <c r="E214" s="41">
        <v>74.77</v>
      </c>
      <c r="F214" s="75">
        <v>8.9999999999999998E-4</v>
      </c>
      <c r="G214" t="s">
        <v>48</v>
      </c>
      <c r="H214" t="s">
        <v>63</v>
      </c>
      <c r="I214" s="41" t="s">
        <v>32</v>
      </c>
      <c r="J214" s="1"/>
    </row>
    <row r="215" spans="1:10">
      <c r="A215">
        <v>214</v>
      </c>
      <c r="B215" t="s">
        <v>687</v>
      </c>
      <c r="C215" t="s">
        <v>688</v>
      </c>
      <c r="D215" t="s">
        <v>689</v>
      </c>
      <c r="E215" s="41">
        <v>76.22</v>
      </c>
      <c r="F215" s="75">
        <v>8.9999999999999998E-4</v>
      </c>
      <c r="G215" t="s">
        <v>48</v>
      </c>
      <c r="H215" t="s">
        <v>71</v>
      </c>
      <c r="I215" s="41" t="s">
        <v>32</v>
      </c>
      <c r="J215" s="1"/>
    </row>
    <row r="216" spans="1:10">
      <c r="A216">
        <v>215</v>
      </c>
      <c r="B216" t="s">
        <v>690</v>
      </c>
      <c r="C216" t="s">
        <v>691</v>
      </c>
      <c r="D216" t="s">
        <v>692</v>
      </c>
      <c r="E216" s="41">
        <v>83.09</v>
      </c>
      <c r="F216" s="75">
        <v>8.9999999999999998E-4</v>
      </c>
      <c r="G216" t="s">
        <v>59</v>
      </c>
      <c r="H216" t="s">
        <v>59</v>
      </c>
      <c r="I216" s="41" t="s">
        <v>32</v>
      </c>
      <c r="J216" s="1"/>
    </row>
    <row r="217" spans="1:10">
      <c r="A217">
        <v>216</v>
      </c>
      <c r="B217" t="s">
        <v>693</v>
      </c>
      <c r="C217" t="s">
        <v>694</v>
      </c>
      <c r="D217" t="s">
        <v>695</v>
      </c>
      <c r="E217" s="41">
        <v>71.19</v>
      </c>
      <c r="F217" s="75">
        <v>8.9999999999999998E-4</v>
      </c>
      <c r="G217" t="s">
        <v>59</v>
      </c>
      <c r="H217" t="s">
        <v>59</v>
      </c>
      <c r="I217" s="41" t="s">
        <v>32</v>
      </c>
      <c r="J217" s="1"/>
    </row>
    <row r="218" spans="1:10">
      <c r="A218">
        <v>217</v>
      </c>
      <c r="B218" t="s">
        <v>696</v>
      </c>
      <c r="C218" t="s">
        <v>697</v>
      </c>
      <c r="D218" t="s">
        <v>698</v>
      </c>
      <c r="E218" s="41">
        <v>72.41</v>
      </c>
      <c r="F218" s="75">
        <v>1.9E-3</v>
      </c>
      <c r="G218" t="s">
        <v>34</v>
      </c>
      <c r="H218" t="s">
        <v>33</v>
      </c>
      <c r="I218" s="41" t="s">
        <v>32</v>
      </c>
      <c r="J218" s="1"/>
    </row>
    <row r="219" spans="1:10">
      <c r="A219">
        <v>218</v>
      </c>
      <c r="B219" t="s">
        <v>699</v>
      </c>
      <c r="C219" t="s">
        <v>700</v>
      </c>
      <c r="D219" t="s">
        <v>701</v>
      </c>
      <c r="E219" s="41">
        <v>69.61</v>
      </c>
      <c r="F219" s="75">
        <v>2.9999999999999997E-4</v>
      </c>
      <c r="G219" t="s">
        <v>34</v>
      </c>
      <c r="H219" t="s">
        <v>33</v>
      </c>
      <c r="I219" s="41" t="s">
        <v>32</v>
      </c>
      <c r="J219" s="1"/>
    </row>
    <row r="220" spans="1:10">
      <c r="A220">
        <v>219</v>
      </c>
      <c r="B220" t="s">
        <v>702</v>
      </c>
      <c r="C220" t="s">
        <v>703</v>
      </c>
      <c r="D220" t="s">
        <v>704</v>
      </c>
      <c r="E220" s="41">
        <v>76.209999999999994</v>
      </c>
      <c r="F220" s="75">
        <v>8.9999999999999998E-4</v>
      </c>
      <c r="G220" t="s">
        <v>34</v>
      </c>
      <c r="H220" t="s">
        <v>43</v>
      </c>
      <c r="I220" s="41" t="s">
        <v>32</v>
      </c>
      <c r="J220" s="1"/>
    </row>
    <row r="221" spans="1:10">
      <c r="A221">
        <v>220</v>
      </c>
      <c r="B221" t="s">
        <v>705</v>
      </c>
      <c r="C221" t="s">
        <v>706</v>
      </c>
      <c r="D221" t="s">
        <v>707</v>
      </c>
      <c r="E221" s="41">
        <v>55.86</v>
      </c>
      <c r="F221" s="75">
        <v>8.9999999999999998E-4</v>
      </c>
      <c r="G221" t="s">
        <v>34</v>
      </c>
      <c r="H221" t="s">
        <v>43</v>
      </c>
      <c r="I221" s="41" t="s">
        <v>32</v>
      </c>
      <c r="J221" s="1"/>
    </row>
    <row r="222" spans="1:10">
      <c r="A222">
        <v>221</v>
      </c>
      <c r="B222" t="s">
        <v>708</v>
      </c>
      <c r="C222" t="s">
        <v>709</v>
      </c>
      <c r="D222" t="s">
        <v>710</v>
      </c>
      <c r="E222" s="41">
        <v>69.260000000000005</v>
      </c>
      <c r="F222" s="75">
        <v>1.5900000000000001E-2</v>
      </c>
      <c r="G222" t="s">
        <v>34</v>
      </c>
      <c r="H222" t="s">
        <v>33</v>
      </c>
      <c r="I222" s="41" t="s">
        <v>32</v>
      </c>
      <c r="J222" s="1"/>
    </row>
    <row r="223" spans="1:10">
      <c r="A223">
        <v>222</v>
      </c>
      <c r="B223" t="s">
        <v>711</v>
      </c>
      <c r="C223" t="s">
        <v>712</v>
      </c>
      <c r="D223" t="s">
        <v>713</v>
      </c>
      <c r="E223" s="41">
        <v>62.84</v>
      </c>
      <c r="F223" s="75">
        <v>8.9999999999999998E-4</v>
      </c>
      <c r="G223" t="s">
        <v>98</v>
      </c>
      <c r="H223" t="s">
        <v>101</v>
      </c>
      <c r="I223" s="41" t="s">
        <v>102</v>
      </c>
      <c r="J223" s="1"/>
    </row>
    <row r="224" spans="1:10">
      <c r="A224">
        <v>223</v>
      </c>
      <c r="B224" t="s">
        <v>714</v>
      </c>
      <c r="C224" t="s">
        <v>715</v>
      </c>
      <c r="D224" t="s">
        <v>716</v>
      </c>
      <c r="E224" s="41">
        <v>83.53</v>
      </c>
      <c r="F224" s="75">
        <v>8.9999999999999998E-4</v>
      </c>
      <c r="G224" t="s">
        <v>75</v>
      </c>
      <c r="H224" t="s">
        <v>103</v>
      </c>
      <c r="I224" s="41" t="s">
        <v>32</v>
      </c>
      <c r="J224" s="1"/>
    </row>
    <row r="225" spans="1:10">
      <c r="A225">
        <v>224</v>
      </c>
      <c r="B225" t="s">
        <v>717</v>
      </c>
      <c r="C225" t="s">
        <v>718</v>
      </c>
      <c r="D225" t="s">
        <v>719</v>
      </c>
      <c r="E225" s="41">
        <v>53.29</v>
      </c>
      <c r="F225" s="75">
        <v>8.9999999999999998E-4</v>
      </c>
      <c r="G225" t="s">
        <v>75</v>
      </c>
      <c r="H225" t="s">
        <v>119</v>
      </c>
      <c r="I225" s="41" t="s">
        <v>32</v>
      </c>
      <c r="J225" s="1"/>
    </row>
    <row r="226" spans="1:10">
      <c r="A226">
        <v>225</v>
      </c>
      <c r="B226" t="s">
        <v>720</v>
      </c>
      <c r="C226" t="s">
        <v>721</v>
      </c>
      <c r="D226" t="s">
        <v>722</v>
      </c>
      <c r="E226" s="41">
        <v>44.23</v>
      </c>
      <c r="F226" s="75">
        <v>8.9999999999999998E-4</v>
      </c>
      <c r="G226" t="s">
        <v>75</v>
      </c>
      <c r="H226" t="s">
        <v>111</v>
      </c>
      <c r="I226" s="41" t="s">
        <v>32</v>
      </c>
      <c r="J226" s="1"/>
    </row>
    <row r="227" spans="1:10">
      <c r="A227">
        <v>226</v>
      </c>
      <c r="B227" t="s">
        <v>723</v>
      </c>
      <c r="C227" t="s">
        <v>724</v>
      </c>
      <c r="D227" t="s">
        <v>725</v>
      </c>
      <c r="E227" s="41">
        <v>73.61</v>
      </c>
      <c r="F227" s="75">
        <v>8.0000000000000004E-4</v>
      </c>
      <c r="G227" t="s">
        <v>115</v>
      </c>
      <c r="H227" t="s">
        <v>158</v>
      </c>
      <c r="I227" s="41" t="s">
        <v>32</v>
      </c>
      <c r="J227" s="1"/>
    </row>
    <row r="228" spans="1:10">
      <c r="A228">
        <v>227</v>
      </c>
      <c r="B228" t="s">
        <v>726</v>
      </c>
      <c r="C228" t="s">
        <v>727</v>
      </c>
      <c r="D228" t="s">
        <v>728</v>
      </c>
      <c r="E228" s="41">
        <v>70.2</v>
      </c>
      <c r="F228" s="75">
        <v>8.0000000000000004E-4</v>
      </c>
      <c r="G228" t="s">
        <v>107</v>
      </c>
      <c r="H228" t="s">
        <v>107</v>
      </c>
      <c r="I228" s="41" t="s">
        <v>32</v>
      </c>
      <c r="J228" s="1"/>
    </row>
    <row r="229" spans="1:10">
      <c r="A229">
        <v>228</v>
      </c>
      <c r="B229" t="s">
        <v>729</v>
      </c>
      <c r="C229" t="s">
        <v>730</v>
      </c>
      <c r="D229" s="26" t="s">
        <v>731</v>
      </c>
      <c r="E229" s="73">
        <v>85.27</v>
      </c>
      <c r="F229" s="75">
        <v>8.0000000000000004E-4</v>
      </c>
      <c r="G229" t="s">
        <v>107</v>
      </c>
      <c r="H229" t="s">
        <v>107</v>
      </c>
      <c r="I229" s="41" t="s">
        <v>32</v>
      </c>
      <c r="J229" s="1"/>
    </row>
    <row r="230" spans="1:10">
      <c r="A230">
        <v>229</v>
      </c>
      <c r="B230" t="s">
        <v>732</v>
      </c>
      <c r="C230" t="s">
        <v>733</v>
      </c>
      <c r="D230" t="s">
        <v>734</v>
      </c>
      <c r="E230" s="41">
        <v>80.489999999999995</v>
      </c>
      <c r="F230" s="75">
        <v>8.0000000000000004E-4</v>
      </c>
      <c r="G230" t="s">
        <v>107</v>
      </c>
      <c r="H230" t="s">
        <v>107</v>
      </c>
      <c r="I230" s="41" t="s">
        <v>32</v>
      </c>
      <c r="J230" s="1"/>
    </row>
    <row r="231" spans="1:10">
      <c r="A231">
        <v>230</v>
      </c>
      <c r="B231" t="s">
        <v>735</v>
      </c>
      <c r="C231" t="s">
        <v>736</v>
      </c>
      <c r="D231" t="s">
        <v>737</v>
      </c>
      <c r="E231" s="41">
        <v>71.510000000000005</v>
      </c>
      <c r="F231" s="75">
        <v>8.0000000000000004E-4</v>
      </c>
      <c r="G231" t="s">
        <v>107</v>
      </c>
      <c r="H231" t="s">
        <v>107</v>
      </c>
      <c r="I231" s="41" t="s">
        <v>32</v>
      </c>
      <c r="J231" s="1"/>
    </row>
    <row r="232" spans="1:10">
      <c r="A232">
        <v>231</v>
      </c>
      <c r="B232" t="s">
        <v>738</v>
      </c>
      <c r="C232" t="s">
        <v>739</v>
      </c>
      <c r="D232" t="s">
        <v>740</v>
      </c>
      <c r="E232" s="41">
        <v>62.83</v>
      </c>
      <c r="F232" s="75">
        <v>8.0000000000000004E-4</v>
      </c>
      <c r="G232" t="s">
        <v>30</v>
      </c>
      <c r="H232" t="s">
        <v>42</v>
      </c>
      <c r="I232" s="41" t="s">
        <v>32</v>
      </c>
      <c r="J232" s="1"/>
    </row>
    <row r="233" spans="1:10">
      <c r="A233">
        <v>232</v>
      </c>
      <c r="B233" t="s">
        <v>741</v>
      </c>
      <c r="C233" t="s">
        <v>742</v>
      </c>
      <c r="D233" t="s">
        <v>743</v>
      </c>
      <c r="E233" s="41">
        <v>70.23</v>
      </c>
      <c r="F233" s="75">
        <v>8.0000000000000004E-4</v>
      </c>
      <c r="G233" t="s">
        <v>123</v>
      </c>
      <c r="H233" t="s">
        <v>123</v>
      </c>
      <c r="I233" s="41" t="s">
        <v>32</v>
      </c>
      <c r="J233" s="1"/>
    </row>
    <row r="234" spans="1:10">
      <c r="A234">
        <v>233</v>
      </c>
      <c r="B234" t="s">
        <v>744</v>
      </c>
      <c r="C234" t="s">
        <v>745</v>
      </c>
      <c r="D234" t="s">
        <v>746</v>
      </c>
      <c r="E234" s="41">
        <v>49.02</v>
      </c>
      <c r="F234" s="75">
        <v>8.0000000000000004E-4</v>
      </c>
      <c r="G234" t="s">
        <v>48</v>
      </c>
      <c r="H234" t="s">
        <v>63</v>
      </c>
      <c r="I234" s="41" t="s">
        <v>32</v>
      </c>
      <c r="J234" s="1"/>
    </row>
    <row r="235" spans="1:10">
      <c r="A235">
        <v>234</v>
      </c>
      <c r="B235" t="s">
        <v>747</v>
      </c>
      <c r="C235" t="s">
        <v>748</v>
      </c>
      <c r="D235" t="s">
        <v>749</v>
      </c>
      <c r="E235" s="41">
        <v>72.47</v>
      </c>
      <c r="F235" s="75">
        <v>8.0000000000000004E-4</v>
      </c>
      <c r="G235" t="s">
        <v>48</v>
      </c>
      <c r="H235" t="s">
        <v>71</v>
      </c>
      <c r="I235" s="41" t="s">
        <v>32</v>
      </c>
      <c r="J235" s="1"/>
    </row>
    <row r="236" spans="1:10">
      <c r="A236">
        <v>235</v>
      </c>
      <c r="B236" t="s">
        <v>750</v>
      </c>
      <c r="C236" t="s">
        <v>751</v>
      </c>
      <c r="D236" t="s">
        <v>752</v>
      </c>
      <c r="E236" s="41">
        <v>70.010000000000005</v>
      </c>
      <c r="F236" s="75">
        <v>8.0000000000000004E-4</v>
      </c>
      <c r="G236" t="s">
        <v>48</v>
      </c>
      <c r="H236" t="s">
        <v>71</v>
      </c>
      <c r="I236" s="41" t="s">
        <v>32</v>
      </c>
      <c r="J236" s="1"/>
    </row>
    <row r="237" spans="1:10">
      <c r="A237">
        <v>236</v>
      </c>
      <c r="B237" t="s">
        <v>753</v>
      </c>
      <c r="C237" t="s">
        <v>754</v>
      </c>
      <c r="D237" t="s">
        <v>755</v>
      </c>
      <c r="E237" s="41">
        <v>69.069999999999993</v>
      </c>
      <c r="F237" s="75">
        <v>8.0000000000000004E-4</v>
      </c>
      <c r="G237" t="s">
        <v>48</v>
      </c>
      <c r="H237" t="s">
        <v>71</v>
      </c>
      <c r="I237" s="41" t="s">
        <v>32</v>
      </c>
      <c r="J237" s="1"/>
    </row>
    <row r="238" spans="1:10">
      <c r="A238">
        <v>237</v>
      </c>
      <c r="B238" t="s">
        <v>756</v>
      </c>
      <c r="C238" t="s">
        <v>757</v>
      </c>
      <c r="D238" t="s">
        <v>758</v>
      </c>
      <c r="E238" s="41">
        <v>85.42</v>
      </c>
      <c r="F238" s="75">
        <v>8.0000000000000004E-4</v>
      </c>
      <c r="G238" t="s">
        <v>48</v>
      </c>
      <c r="H238" t="s">
        <v>63</v>
      </c>
      <c r="I238" s="41" t="s">
        <v>32</v>
      </c>
      <c r="J238" s="1"/>
    </row>
    <row r="239" spans="1:10">
      <c r="A239">
        <v>238</v>
      </c>
      <c r="B239" t="s">
        <v>759</v>
      </c>
      <c r="C239" t="s">
        <v>760</v>
      </c>
      <c r="D239" t="s">
        <v>761</v>
      </c>
      <c r="E239" s="41">
        <v>79.53</v>
      </c>
      <c r="F239" s="75">
        <v>8.0000000000000004E-4</v>
      </c>
      <c r="G239" t="s">
        <v>48</v>
      </c>
      <c r="H239" t="s">
        <v>71</v>
      </c>
      <c r="I239" s="41" t="s">
        <v>32</v>
      </c>
      <c r="J239" s="1"/>
    </row>
    <row r="240" spans="1:10">
      <c r="A240">
        <v>239</v>
      </c>
      <c r="B240" t="s">
        <v>762</v>
      </c>
      <c r="C240" t="s">
        <v>763</v>
      </c>
      <c r="F240" s="75">
        <v>8.0000000000000004E-4</v>
      </c>
      <c r="G240" t="s">
        <v>59</v>
      </c>
      <c r="H240" t="s">
        <v>59</v>
      </c>
      <c r="I240" s="41" t="s">
        <v>764</v>
      </c>
      <c r="J240" s="1"/>
    </row>
    <row r="241" spans="1:10">
      <c r="A241">
        <v>240</v>
      </c>
      <c r="B241" t="s">
        <v>765</v>
      </c>
      <c r="C241" t="s">
        <v>766</v>
      </c>
      <c r="D241" t="s">
        <v>767</v>
      </c>
      <c r="E241" s="41">
        <v>38.979999999999997</v>
      </c>
      <c r="F241" s="75">
        <v>8.0000000000000004E-4</v>
      </c>
      <c r="G241" t="s">
        <v>34</v>
      </c>
      <c r="H241" t="s">
        <v>54</v>
      </c>
      <c r="I241" s="41" t="s">
        <v>32</v>
      </c>
      <c r="J241" s="1"/>
    </row>
    <row r="242" spans="1:10">
      <c r="A242">
        <v>241</v>
      </c>
      <c r="B242" t="s">
        <v>768</v>
      </c>
      <c r="C242" t="s">
        <v>769</v>
      </c>
      <c r="D242" t="s">
        <v>770</v>
      </c>
      <c r="E242" s="41">
        <v>76.09</v>
      </c>
      <c r="F242" s="75">
        <v>8.0000000000000004E-4</v>
      </c>
      <c r="G242" t="s">
        <v>34</v>
      </c>
      <c r="H242" t="s">
        <v>43</v>
      </c>
      <c r="I242" s="41" t="s">
        <v>32</v>
      </c>
      <c r="J242" s="1"/>
    </row>
    <row r="243" spans="1:10">
      <c r="A243">
        <v>242</v>
      </c>
      <c r="B243" t="s">
        <v>771</v>
      </c>
      <c r="C243" t="s">
        <v>772</v>
      </c>
      <c r="D243" t="s">
        <v>773</v>
      </c>
      <c r="E243" s="41">
        <v>39.72</v>
      </c>
      <c r="F243" s="75">
        <v>8.0000000000000004E-4</v>
      </c>
      <c r="G243" t="s">
        <v>34</v>
      </c>
      <c r="H243" t="s">
        <v>43</v>
      </c>
      <c r="I243" s="41" t="s">
        <v>32</v>
      </c>
      <c r="J243" s="1"/>
    </row>
    <row r="244" spans="1:10">
      <c r="A244">
        <v>243</v>
      </c>
      <c r="B244" t="s">
        <v>774</v>
      </c>
      <c r="C244" t="s">
        <v>775</v>
      </c>
      <c r="D244" t="s">
        <v>776</v>
      </c>
      <c r="E244" s="41">
        <v>71.650000000000006</v>
      </c>
      <c r="F244" s="75">
        <v>8.0000000000000004E-4</v>
      </c>
      <c r="G244" t="s">
        <v>52</v>
      </c>
      <c r="H244" t="s">
        <v>93</v>
      </c>
      <c r="I244" s="41" t="s">
        <v>102</v>
      </c>
      <c r="J244" s="1"/>
    </row>
    <row r="245" spans="1:10">
      <c r="A245">
        <v>244</v>
      </c>
      <c r="B245" t="s">
        <v>777</v>
      </c>
      <c r="C245" t="s">
        <v>778</v>
      </c>
      <c r="D245" t="s">
        <v>779</v>
      </c>
      <c r="E245" s="41">
        <v>90.38</v>
      </c>
      <c r="F245" s="75">
        <v>8.0000000000000004E-4</v>
      </c>
      <c r="G245" t="s">
        <v>52</v>
      </c>
      <c r="H245" t="s">
        <v>53</v>
      </c>
      <c r="I245" s="41" t="s">
        <v>32</v>
      </c>
      <c r="J245" s="1"/>
    </row>
    <row r="246" spans="1:10">
      <c r="A246">
        <v>245</v>
      </c>
      <c r="B246" t="s">
        <v>780</v>
      </c>
      <c r="C246" t="s">
        <v>781</v>
      </c>
      <c r="D246" t="s">
        <v>782</v>
      </c>
      <c r="E246" s="41">
        <v>81.290000000000006</v>
      </c>
      <c r="F246" s="75">
        <v>8.0000000000000004E-4</v>
      </c>
      <c r="G246" t="s">
        <v>75</v>
      </c>
      <c r="H246" t="s">
        <v>119</v>
      </c>
      <c r="I246" s="41" t="s">
        <v>32</v>
      </c>
      <c r="J246" s="1"/>
    </row>
    <row r="247" spans="1:10">
      <c r="A247">
        <v>246</v>
      </c>
      <c r="B247" t="s">
        <v>783</v>
      </c>
      <c r="C247" t="s">
        <v>784</v>
      </c>
      <c r="D247" t="s">
        <v>785</v>
      </c>
      <c r="E247" s="41">
        <v>78.36</v>
      </c>
      <c r="F247" s="75">
        <v>8.0000000000000004E-4</v>
      </c>
      <c r="G247" t="s">
        <v>115</v>
      </c>
      <c r="H247" t="s">
        <v>158</v>
      </c>
      <c r="I247" s="41" t="s">
        <v>32</v>
      </c>
      <c r="J247" s="1"/>
    </row>
    <row r="248" spans="1:10">
      <c r="A248">
        <v>247</v>
      </c>
      <c r="B248" t="s">
        <v>786</v>
      </c>
      <c r="C248" t="s">
        <v>787</v>
      </c>
      <c r="D248" t="s">
        <v>788</v>
      </c>
      <c r="E248" s="41">
        <v>71.92</v>
      </c>
      <c r="F248" s="75">
        <v>6.9999999999999999E-4</v>
      </c>
      <c r="G248" t="s">
        <v>107</v>
      </c>
      <c r="H248" t="s">
        <v>107</v>
      </c>
      <c r="I248" s="41" t="s">
        <v>32</v>
      </c>
      <c r="J248" s="1"/>
    </row>
    <row r="249" spans="1:10">
      <c r="A249">
        <v>248</v>
      </c>
      <c r="B249" t="s">
        <v>789</v>
      </c>
      <c r="C249" t="s">
        <v>790</v>
      </c>
      <c r="D249" t="s">
        <v>791</v>
      </c>
      <c r="E249" s="41">
        <v>89.3</v>
      </c>
      <c r="F249" s="75">
        <v>6.9999999999999999E-4</v>
      </c>
      <c r="G249" t="s">
        <v>123</v>
      </c>
      <c r="H249" t="s">
        <v>123</v>
      </c>
      <c r="I249" s="41" t="s">
        <v>32</v>
      </c>
      <c r="J249" s="1"/>
    </row>
    <row r="250" spans="1:10">
      <c r="A250">
        <v>249</v>
      </c>
      <c r="B250" t="s">
        <v>792</v>
      </c>
      <c r="C250" t="s">
        <v>793</v>
      </c>
      <c r="D250" t="s">
        <v>794</v>
      </c>
      <c r="E250" s="41">
        <v>74.19</v>
      </c>
      <c r="F250" s="75">
        <v>6.9999999999999999E-4</v>
      </c>
      <c r="G250" t="s">
        <v>123</v>
      </c>
      <c r="H250" t="s">
        <v>123</v>
      </c>
      <c r="I250" s="41" t="s">
        <v>32</v>
      </c>
      <c r="J250" s="1"/>
    </row>
    <row r="251" spans="1:10">
      <c r="A251">
        <v>250</v>
      </c>
      <c r="B251" t="s">
        <v>795</v>
      </c>
      <c r="C251" t="s">
        <v>796</v>
      </c>
      <c r="D251" t="s">
        <v>797</v>
      </c>
      <c r="E251" s="41">
        <v>70.94</v>
      </c>
      <c r="F251" s="75">
        <v>6.9999999999999999E-4</v>
      </c>
      <c r="G251" t="s">
        <v>89</v>
      </c>
      <c r="H251" t="s">
        <v>89</v>
      </c>
      <c r="I251" s="41" t="s">
        <v>32</v>
      </c>
      <c r="J251" s="1"/>
    </row>
    <row r="252" spans="1:10">
      <c r="A252">
        <v>251</v>
      </c>
      <c r="B252" t="s">
        <v>798</v>
      </c>
      <c r="C252" t="s">
        <v>799</v>
      </c>
      <c r="D252" t="s">
        <v>800</v>
      </c>
      <c r="E252" s="41">
        <v>79.84</v>
      </c>
      <c r="F252" s="75">
        <v>6.9999999999999999E-4</v>
      </c>
      <c r="G252" t="s">
        <v>89</v>
      </c>
      <c r="H252" t="s">
        <v>89</v>
      </c>
      <c r="I252" s="41" t="s">
        <v>32</v>
      </c>
      <c r="J252" s="1"/>
    </row>
    <row r="253" spans="1:10">
      <c r="A253">
        <v>252</v>
      </c>
      <c r="B253" t="s">
        <v>801</v>
      </c>
      <c r="C253" t="s">
        <v>802</v>
      </c>
      <c r="D253" t="s">
        <v>803</v>
      </c>
      <c r="E253" s="41">
        <v>70.56</v>
      </c>
      <c r="F253" s="75">
        <v>6.9999999999999999E-4</v>
      </c>
      <c r="G253" t="s">
        <v>89</v>
      </c>
      <c r="H253" t="s">
        <v>89</v>
      </c>
      <c r="I253" s="41" t="s">
        <v>32</v>
      </c>
      <c r="J253" s="1"/>
    </row>
    <row r="254" spans="1:10">
      <c r="A254">
        <v>253</v>
      </c>
      <c r="B254" t="s">
        <v>804</v>
      </c>
      <c r="C254" t="s">
        <v>805</v>
      </c>
      <c r="D254" t="s">
        <v>806</v>
      </c>
      <c r="E254" s="41">
        <v>74.3</v>
      </c>
      <c r="F254" s="75">
        <v>6.9999999999999999E-4</v>
      </c>
      <c r="G254" t="s">
        <v>48</v>
      </c>
      <c r="H254" t="s">
        <v>63</v>
      </c>
      <c r="I254" s="41" t="s">
        <v>32</v>
      </c>
      <c r="J254" s="1"/>
    </row>
    <row r="255" spans="1:10">
      <c r="A255">
        <v>254</v>
      </c>
      <c r="B255" t="s">
        <v>807</v>
      </c>
      <c r="C255" t="s">
        <v>808</v>
      </c>
      <c r="D255" t="s">
        <v>809</v>
      </c>
      <c r="E255" s="41">
        <v>61.2</v>
      </c>
      <c r="F255" s="75">
        <v>6.9999999999999999E-4</v>
      </c>
      <c r="G255" t="s">
        <v>48</v>
      </c>
      <c r="H255" t="s">
        <v>63</v>
      </c>
      <c r="I255" s="41" t="s">
        <v>32</v>
      </c>
      <c r="J255" s="1"/>
    </row>
    <row r="256" spans="1:10">
      <c r="A256">
        <v>255</v>
      </c>
      <c r="B256" t="s">
        <v>810</v>
      </c>
      <c r="C256" t="s">
        <v>811</v>
      </c>
      <c r="D256" t="s">
        <v>812</v>
      </c>
      <c r="E256" s="41">
        <v>57.48</v>
      </c>
      <c r="F256" s="75">
        <v>6.9999999999999999E-4</v>
      </c>
      <c r="G256" t="s">
        <v>48</v>
      </c>
      <c r="H256" t="s">
        <v>63</v>
      </c>
      <c r="I256" s="41" t="s">
        <v>32</v>
      </c>
      <c r="J256" s="1"/>
    </row>
    <row r="257" spans="1:10">
      <c r="A257">
        <v>256</v>
      </c>
      <c r="B257" t="s">
        <v>813</v>
      </c>
      <c r="C257" t="s">
        <v>814</v>
      </c>
      <c r="D257" t="s">
        <v>815</v>
      </c>
      <c r="E257" s="41">
        <v>88.11</v>
      </c>
      <c r="F257" s="75">
        <v>6.9999999999999999E-4</v>
      </c>
      <c r="G257" t="s">
        <v>48</v>
      </c>
      <c r="H257" t="s">
        <v>63</v>
      </c>
      <c r="I257" s="41" t="s">
        <v>32</v>
      </c>
      <c r="J257" s="1"/>
    </row>
    <row r="258" spans="1:10">
      <c r="A258">
        <v>257</v>
      </c>
      <c r="B258" t="s">
        <v>816</v>
      </c>
      <c r="C258" t="s">
        <v>817</v>
      </c>
      <c r="D258" t="s">
        <v>818</v>
      </c>
      <c r="E258" s="41">
        <v>43.04</v>
      </c>
      <c r="F258" s="75">
        <v>6.9999999999999999E-4</v>
      </c>
      <c r="G258" t="s">
        <v>48</v>
      </c>
      <c r="H258" t="s">
        <v>71</v>
      </c>
      <c r="I258" s="41" t="s">
        <v>32</v>
      </c>
      <c r="J258" s="1"/>
    </row>
    <row r="259" spans="1:10">
      <c r="A259">
        <v>258</v>
      </c>
      <c r="B259" t="s">
        <v>819</v>
      </c>
      <c r="C259" t="s">
        <v>820</v>
      </c>
      <c r="D259" t="s">
        <v>821</v>
      </c>
      <c r="E259" s="41">
        <v>83.41</v>
      </c>
      <c r="F259" s="75">
        <v>6.9999999999999999E-4</v>
      </c>
      <c r="G259" t="s">
        <v>59</v>
      </c>
      <c r="H259" t="s">
        <v>59</v>
      </c>
      <c r="I259" s="41" t="s">
        <v>32</v>
      </c>
      <c r="J259" s="1"/>
    </row>
    <row r="260" spans="1:10">
      <c r="A260">
        <v>259</v>
      </c>
      <c r="B260" t="s">
        <v>822</v>
      </c>
      <c r="C260" t="s">
        <v>823</v>
      </c>
      <c r="D260" t="s">
        <v>824</v>
      </c>
      <c r="E260" s="41">
        <v>46.77</v>
      </c>
      <c r="F260" s="75">
        <v>6.9999999999999999E-4</v>
      </c>
      <c r="G260" t="s">
        <v>59</v>
      </c>
      <c r="H260" t="s">
        <v>59</v>
      </c>
      <c r="I260" s="41" t="s">
        <v>32</v>
      </c>
      <c r="J260" s="1"/>
    </row>
    <row r="261" spans="1:10">
      <c r="A261">
        <v>260</v>
      </c>
      <c r="B261" t="s">
        <v>825</v>
      </c>
      <c r="C261" t="s">
        <v>826</v>
      </c>
      <c r="D261" t="s">
        <v>827</v>
      </c>
      <c r="E261" s="41">
        <v>36.979999999999997</v>
      </c>
      <c r="F261" s="75">
        <v>6.9999999999999999E-4</v>
      </c>
      <c r="G261" t="s">
        <v>34</v>
      </c>
      <c r="H261" t="s">
        <v>54</v>
      </c>
      <c r="I261" s="41" t="s">
        <v>32</v>
      </c>
      <c r="J261" s="1"/>
    </row>
    <row r="262" spans="1:10">
      <c r="A262">
        <v>261</v>
      </c>
      <c r="B262" t="s">
        <v>828</v>
      </c>
      <c r="C262" t="s">
        <v>829</v>
      </c>
      <c r="D262" t="s">
        <v>830</v>
      </c>
      <c r="E262" s="41">
        <v>67.48</v>
      </c>
      <c r="F262" s="75">
        <v>8.9999999999999998E-4</v>
      </c>
      <c r="G262" t="s">
        <v>34</v>
      </c>
      <c r="H262" t="s">
        <v>33</v>
      </c>
      <c r="I262" s="41" t="s">
        <v>32</v>
      </c>
      <c r="J262" s="1"/>
    </row>
    <row r="263" spans="1:10">
      <c r="A263">
        <v>262</v>
      </c>
      <c r="B263" t="s">
        <v>831</v>
      </c>
      <c r="C263" t="s">
        <v>832</v>
      </c>
      <c r="D263" t="s">
        <v>833</v>
      </c>
      <c r="E263" s="41">
        <v>67.14</v>
      </c>
      <c r="F263" s="75">
        <v>2E-3</v>
      </c>
      <c r="G263" t="s">
        <v>34</v>
      </c>
      <c r="H263" t="s">
        <v>33</v>
      </c>
      <c r="I263" s="41" t="s">
        <v>32</v>
      </c>
      <c r="J263" s="1"/>
    </row>
    <row r="264" spans="1:10">
      <c r="A264">
        <v>263</v>
      </c>
      <c r="B264" t="s">
        <v>834</v>
      </c>
      <c r="C264" t="s">
        <v>835</v>
      </c>
      <c r="D264" t="s">
        <v>836</v>
      </c>
      <c r="E264" s="41">
        <v>66.91</v>
      </c>
      <c r="F264" s="75">
        <v>2.0000000000000001E-4</v>
      </c>
      <c r="G264" t="s">
        <v>34</v>
      </c>
      <c r="H264" t="s">
        <v>33</v>
      </c>
      <c r="I264" s="41" t="s">
        <v>32</v>
      </c>
      <c r="J264" s="1"/>
    </row>
    <row r="265" spans="1:10">
      <c r="A265">
        <v>264</v>
      </c>
      <c r="B265" t="s">
        <v>837</v>
      </c>
      <c r="C265" t="s">
        <v>838</v>
      </c>
      <c r="D265" t="s">
        <v>839</v>
      </c>
      <c r="E265" s="41">
        <v>85.77</v>
      </c>
      <c r="F265" s="75">
        <v>6.9999999999999999E-4</v>
      </c>
      <c r="G265" t="s">
        <v>34</v>
      </c>
      <c r="H265" t="s">
        <v>43</v>
      </c>
      <c r="I265" s="41" t="s">
        <v>32</v>
      </c>
      <c r="J265" s="1"/>
    </row>
    <row r="266" spans="1:10">
      <c r="A266">
        <v>265</v>
      </c>
      <c r="B266" t="s">
        <v>840</v>
      </c>
      <c r="C266" t="s">
        <v>841</v>
      </c>
      <c r="D266" t="s">
        <v>842</v>
      </c>
      <c r="E266" s="41">
        <v>81.150000000000006</v>
      </c>
      <c r="F266" s="75">
        <v>6.9999999999999999E-4</v>
      </c>
      <c r="G266" t="s">
        <v>34</v>
      </c>
      <c r="H266" t="s">
        <v>43</v>
      </c>
      <c r="I266" s="41" t="s">
        <v>32</v>
      </c>
      <c r="J266" s="1"/>
    </row>
    <row r="267" spans="1:10">
      <c r="A267">
        <v>266</v>
      </c>
      <c r="B267" t="s">
        <v>843</v>
      </c>
      <c r="C267" t="s">
        <v>844</v>
      </c>
      <c r="D267" t="s">
        <v>845</v>
      </c>
      <c r="E267" s="41">
        <v>80.37</v>
      </c>
      <c r="F267" s="75">
        <v>6.9999999999999999E-4</v>
      </c>
      <c r="G267" t="s">
        <v>52</v>
      </c>
      <c r="H267" t="s">
        <v>53</v>
      </c>
      <c r="I267" s="41" t="s">
        <v>32</v>
      </c>
      <c r="J267" s="1"/>
    </row>
    <row r="268" spans="1:10">
      <c r="A268">
        <v>267</v>
      </c>
      <c r="B268" t="s">
        <v>846</v>
      </c>
      <c r="C268" t="s">
        <v>847</v>
      </c>
      <c r="D268" t="s">
        <v>848</v>
      </c>
      <c r="E268" s="41">
        <v>60.09</v>
      </c>
      <c r="F268" s="75">
        <v>6.9999999999999999E-4</v>
      </c>
      <c r="G268" t="s">
        <v>52</v>
      </c>
      <c r="H268" t="s">
        <v>53</v>
      </c>
      <c r="I268" s="41" t="s">
        <v>32</v>
      </c>
      <c r="J268" s="1"/>
    </row>
    <row r="269" spans="1:10">
      <c r="A269">
        <v>268</v>
      </c>
      <c r="B269" t="s">
        <v>849</v>
      </c>
      <c r="C269" t="s">
        <v>850</v>
      </c>
      <c r="D269" t="s">
        <v>851</v>
      </c>
      <c r="E269" s="41">
        <v>77.11</v>
      </c>
      <c r="F269" s="75">
        <v>6.9999999999999999E-4</v>
      </c>
      <c r="G269" t="s">
        <v>52</v>
      </c>
      <c r="H269" t="s">
        <v>93</v>
      </c>
      <c r="I269" s="41" t="s">
        <v>32</v>
      </c>
      <c r="J269" s="1"/>
    </row>
    <row r="270" spans="1:10">
      <c r="A270">
        <v>269</v>
      </c>
      <c r="B270" t="s">
        <v>852</v>
      </c>
      <c r="C270" t="s">
        <v>853</v>
      </c>
      <c r="D270" t="s">
        <v>854</v>
      </c>
      <c r="E270" s="41">
        <v>73.19</v>
      </c>
      <c r="F270" s="75">
        <v>6.9999999999999999E-4</v>
      </c>
      <c r="G270" t="s">
        <v>75</v>
      </c>
      <c r="H270" t="s">
        <v>111</v>
      </c>
      <c r="I270" s="41" t="s">
        <v>32</v>
      </c>
      <c r="J270" s="1"/>
    </row>
    <row r="271" spans="1:10">
      <c r="A271">
        <v>270</v>
      </c>
      <c r="B271" t="s">
        <v>855</v>
      </c>
      <c r="C271" t="s">
        <v>856</v>
      </c>
      <c r="D271" t="s">
        <v>857</v>
      </c>
      <c r="E271" s="41">
        <v>73.37</v>
      </c>
      <c r="F271" s="75">
        <v>6.9999999999999999E-4</v>
      </c>
      <c r="G271" t="s">
        <v>75</v>
      </c>
      <c r="H271" t="s">
        <v>103</v>
      </c>
      <c r="I271" s="41" t="s">
        <v>32</v>
      </c>
      <c r="J271" s="1"/>
    </row>
    <row r="272" spans="1:10">
      <c r="A272">
        <v>271</v>
      </c>
      <c r="B272" t="s">
        <v>858</v>
      </c>
      <c r="C272" t="s">
        <v>859</v>
      </c>
      <c r="D272" t="s">
        <v>860</v>
      </c>
      <c r="E272" s="41">
        <v>61.72</v>
      </c>
      <c r="F272" s="75">
        <v>6.9999999999999999E-4</v>
      </c>
      <c r="G272" t="s">
        <v>75</v>
      </c>
      <c r="H272" t="s">
        <v>103</v>
      </c>
      <c r="I272" s="41" t="s">
        <v>32</v>
      </c>
      <c r="J272" s="1"/>
    </row>
    <row r="273" spans="1:10">
      <c r="A273">
        <v>272</v>
      </c>
      <c r="B273" t="s">
        <v>861</v>
      </c>
      <c r="C273" t="s">
        <v>862</v>
      </c>
      <c r="D273" t="s">
        <v>863</v>
      </c>
      <c r="E273" s="41">
        <v>65.510000000000005</v>
      </c>
      <c r="F273" s="75">
        <v>6.9999999999999999E-4</v>
      </c>
      <c r="G273" t="s">
        <v>75</v>
      </c>
      <c r="H273" t="s">
        <v>111</v>
      </c>
      <c r="I273" s="41" t="s">
        <v>32</v>
      </c>
      <c r="J273" s="1"/>
    </row>
    <row r="274" spans="1:10">
      <c r="A274">
        <v>273</v>
      </c>
      <c r="B274" t="s">
        <v>864</v>
      </c>
      <c r="C274" t="s">
        <v>865</v>
      </c>
      <c r="D274" t="s">
        <v>866</v>
      </c>
      <c r="E274" s="41">
        <v>68.23</v>
      </c>
      <c r="F274" s="75">
        <v>6.9999999999999999E-4</v>
      </c>
      <c r="G274" t="s">
        <v>115</v>
      </c>
      <c r="H274" t="s">
        <v>158</v>
      </c>
      <c r="I274" s="41" t="s">
        <v>32</v>
      </c>
      <c r="J274" s="1"/>
    </row>
    <row r="275" spans="1:10">
      <c r="A275">
        <v>274</v>
      </c>
      <c r="B275" t="s">
        <v>867</v>
      </c>
      <c r="C275" t="s">
        <v>868</v>
      </c>
      <c r="D275" t="s">
        <v>869</v>
      </c>
      <c r="E275" s="41">
        <v>57.42</v>
      </c>
      <c r="F275" s="75">
        <v>6.9999999999999999E-4</v>
      </c>
      <c r="G275" t="s">
        <v>115</v>
      </c>
      <c r="H275" t="s">
        <v>147</v>
      </c>
      <c r="I275" s="41" t="s">
        <v>32</v>
      </c>
      <c r="J275" s="1"/>
    </row>
    <row r="276" spans="1:10">
      <c r="A276">
        <v>275</v>
      </c>
      <c r="B276" t="s">
        <v>870</v>
      </c>
      <c r="C276" t="s">
        <v>871</v>
      </c>
      <c r="D276" t="s">
        <v>872</v>
      </c>
      <c r="E276" s="41">
        <v>79.62</v>
      </c>
      <c r="F276" s="75">
        <v>6.9999999999999999E-4</v>
      </c>
      <c r="G276" t="s">
        <v>115</v>
      </c>
      <c r="H276" t="s">
        <v>147</v>
      </c>
      <c r="I276" s="41" t="s">
        <v>32</v>
      </c>
      <c r="J276" s="1"/>
    </row>
    <row r="277" spans="1:10">
      <c r="A277">
        <v>276</v>
      </c>
      <c r="B277" t="s">
        <v>873</v>
      </c>
      <c r="C277" t="s">
        <v>874</v>
      </c>
      <c r="D277" t="s">
        <v>875</v>
      </c>
      <c r="E277" s="41">
        <v>78.650000000000006</v>
      </c>
      <c r="F277" s="75">
        <v>6.9999999999999999E-4</v>
      </c>
      <c r="G277" t="s">
        <v>115</v>
      </c>
      <c r="H277" t="s">
        <v>158</v>
      </c>
      <c r="I277" s="41" t="s">
        <v>32</v>
      </c>
      <c r="J277" s="1"/>
    </row>
    <row r="278" spans="1:10">
      <c r="A278">
        <v>277</v>
      </c>
      <c r="B278" t="s">
        <v>876</v>
      </c>
      <c r="C278" t="s">
        <v>877</v>
      </c>
      <c r="D278" t="s">
        <v>878</v>
      </c>
      <c r="E278" s="41">
        <v>52.61</v>
      </c>
      <c r="F278" s="75">
        <v>5.9999999999999995E-4</v>
      </c>
      <c r="G278" t="s">
        <v>115</v>
      </c>
      <c r="H278" t="s">
        <v>147</v>
      </c>
      <c r="I278" s="41" t="s">
        <v>32</v>
      </c>
      <c r="J278" s="1"/>
    </row>
    <row r="279" spans="1:10">
      <c r="A279">
        <v>278</v>
      </c>
      <c r="B279" t="s">
        <v>879</v>
      </c>
      <c r="C279" t="s">
        <v>880</v>
      </c>
      <c r="F279" s="75">
        <v>5.9999999999999995E-4</v>
      </c>
      <c r="G279" t="s">
        <v>107</v>
      </c>
      <c r="H279" t="s">
        <v>107</v>
      </c>
      <c r="I279" s="41" t="s">
        <v>102</v>
      </c>
      <c r="J279" s="1"/>
    </row>
    <row r="280" spans="1:10">
      <c r="A280">
        <v>279</v>
      </c>
      <c r="B280" t="s">
        <v>881</v>
      </c>
      <c r="C280" t="s">
        <v>882</v>
      </c>
      <c r="D280" t="s">
        <v>883</v>
      </c>
      <c r="E280" s="41">
        <v>59.57</v>
      </c>
      <c r="F280" s="75">
        <v>5.9999999999999995E-4</v>
      </c>
      <c r="G280" t="s">
        <v>30</v>
      </c>
      <c r="H280" t="s">
        <v>31</v>
      </c>
      <c r="I280" s="41" t="s">
        <v>32</v>
      </c>
      <c r="J280" s="1"/>
    </row>
    <row r="281" spans="1:10">
      <c r="A281">
        <v>280</v>
      </c>
      <c r="B281" t="s">
        <v>884</v>
      </c>
      <c r="C281" t="s">
        <v>885</v>
      </c>
      <c r="D281" t="s">
        <v>886</v>
      </c>
      <c r="E281" s="41">
        <v>49.24</v>
      </c>
      <c r="F281" s="75">
        <v>5.9999999999999995E-4</v>
      </c>
      <c r="G281" t="s">
        <v>123</v>
      </c>
      <c r="H281" t="s">
        <v>123</v>
      </c>
      <c r="I281" s="41" t="s">
        <v>32</v>
      </c>
      <c r="J281" s="1"/>
    </row>
    <row r="282" spans="1:10">
      <c r="A282">
        <v>281</v>
      </c>
      <c r="B282" t="s">
        <v>887</v>
      </c>
      <c r="C282" t="s">
        <v>888</v>
      </c>
      <c r="D282" t="s">
        <v>889</v>
      </c>
      <c r="E282" s="41">
        <v>83.54</v>
      </c>
      <c r="F282" s="75">
        <v>5.9999999999999995E-4</v>
      </c>
      <c r="G282" t="s">
        <v>89</v>
      </c>
      <c r="H282" t="s">
        <v>89</v>
      </c>
      <c r="I282" s="41" t="s">
        <v>32</v>
      </c>
      <c r="J282" s="1"/>
    </row>
    <row r="283" spans="1:10">
      <c r="A283">
        <v>282</v>
      </c>
      <c r="B283" t="s">
        <v>890</v>
      </c>
      <c r="C283" t="s">
        <v>891</v>
      </c>
      <c r="D283" t="s">
        <v>892</v>
      </c>
      <c r="E283" s="41">
        <v>84.42</v>
      </c>
      <c r="F283" s="75">
        <v>5.9999999999999995E-4</v>
      </c>
      <c r="G283" t="s">
        <v>89</v>
      </c>
      <c r="H283" t="s">
        <v>89</v>
      </c>
      <c r="I283" s="41" t="s">
        <v>32</v>
      </c>
      <c r="J283" s="1"/>
    </row>
    <row r="284" spans="1:10">
      <c r="A284">
        <v>283</v>
      </c>
      <c r="B284" t="s">
        <v>893</v>
      </c>
      <c r="C284" t="s">
        <v>894</v>
      </c>
      <c r="D284" t="s">
        <v>895</v>
      </c>
      <c r="E284" s="41">
        <v>56.92</v>
      </c>
      <c r="F284" s="75">
        <v>5.9999999999999995E-4</v>
      </c>
      <c r="G284" t="s">
        <v>89</v>
      </c>
      <c r="H284" t="s">
        <v>89</v>
      </c>
      <c r="I284" s="41" t="s">
        <v>32</v>
      </c>
      <c r="J284" s="1"/>
    </row>
    <row r="285" spans="1:10">
      <c r="A285">
        <v>284</v>
      </c>
      <c r="B285" t="s">
        <v>896</v>
      </c>
      <c r="C285" t="s">
        <v>897</v>
      </c>
      <c r="D285" t="s">
        <v>898</v>
      </c>
      <c r="E285" s="41">
        <v>72.95</v>
      </c>
      <c r="F285" s="75">
        <v>5.9999999999999995E-4</v>
      </c>
      <c r="G285" t="s">
        <v>48</v>
      </c>
      <c r="H285" t="s">
        <v>63</v>
      </c>
      <c r="I285" s="41" t="s">
        <v>32</v>
      </c>
      <c r="J285" s="1"/>
    </row>
    <row r="286" spans="1:10">
      <c r="A286">
        <v>285</v>
      </c>
      <c r="B286" t="s">
        <v>899</v>
      </c>
      <c r="C286" t="s">
        <v>900</v>
      </c>
      <c r="D286" t="s">
        <v>901</v>
      </c>
      <c r="E286" s="41">
        <v>61.12</v>
      </c>
      <c r="F286" s="75">
        <v>5.9999999999999995E-4</v>
      </c>
      <c r="G286" t="s">
        <v>48</v>
      </c>
      <c r="H286" t="s">
        <v>63</v>
      </c>
      <c r="I286" s="41" t="s">
        <v>32</v>
      </c>
      <c r="J286" s="1"/>
    </row>
    <row r="287" spans="1:10">
      <c r="A287">
        <v>286</v>
      </c>
      <c r="B287" t="s">
        <v>902</v>
      </c>
      <c r="C287" t="s">
        <v>903</v>
      </c>
      <c r="D287" t="s">
        <v>904</v>
      </c>
      <c r="E287" s="41">
        <v>68.069999999999993</v>
      </c>
      <c r="F287" s="75">
        <v>5.9999999999999995E-4</v>
      </c>
      <c r="G287" t="s">
        <v>48</v>
      </c>
      <c r="H287" t="s">
        <v>71</v>
      </c>
      <c r="I287" s="41" t="s">
        <v>32</v>
      </c>
      <c r="J287" s="1"/>
    </row>
    <row r="288" spans="1:10">
      <c r="A288">
        <v>287</v>
      </c>
      <c r="B288" t="s">
        <v>905</v>
      </c>
      <c r="C288" t="s">
        <v>906</v>
      </c>
      <c r="D288" t="s">
        <v>907</v>
      </c>
      <c r="E288" s="41">
        <v>53.55</v>
      </c>
      <c r="F288" s="75">
        <v>5.9999999999999995E-4</v>
      </c>
      <c r="G288" t="s">
        <v>48</v>
      </c>
      <c r="H288" t="s">
        <v>71</v>
      </c>
      <c r="I288" s="41" t="s">
        <v>32</v>
      </c>
      <c r="J288" s="1"/>
    </row>
    <row r="289" spans="1:10">
      <c r="A289">
        <v>288</v>
      </c>
      <c r="B289" t="s">
        <v>908</v>
      </c>
      <c r="C289" t="s">
        <v>909</v>
      </c>
      <c r="D289" t="s">
        <v>910</v>
      </c>
      <c r="E289" s="41">
        <v>80.92</v>
      </c>
      <c r="F289" s="75">
        <v>5.9999999999999995E-4</v>
      </c>
      <c r="G289" t="s">
        <v>48</v>
      </c>
      <c r="H289" t="s">
        <v>71</v>
      </c>
      <c r="I289" s="41" t="s">
        <v>32</v>
      </c>
      <c r="J289" s="1"/>
    </row>
    <row r="290" spans="1:10">
      <c r="A290">
        <v>289</v>
      </c>
      <c r="B290" t="s">
        <v>911</v>
      </c>
      <c r="C290" t="s">
        <v>912</v>
      </c>
      <c r="D290" t="s">
        <v>904</v>
      </c>
      <c r="E290" s="41">
        <v>68.069999999999993</v>
      </c>
      <c r="F290" s="75">
        <v>5.9999999999999995E-4</v>
      </c>
      <c r="G290" t="s">
        <v>48</v>
      </c>
      <c r="H290" t="s">
        <v>63</v>
      </c>
      <c r="I290" s="41" t="s">
        <v>32</v>
      </c>
      <c r="J290" s="1"/>
    </row>
    <row r="291" spans="1:10">
      <c r="A291">
        <v>290</v>
      </c>
      <c r="B291" t="s">
        <v>913</v>
      </c>
      <c r="C291" t="s">
        <v>914</v>
      </c>
      <c r="D291" t="s">
        <v>915</v>
      </c>
      <c r="E291" s="41">
        <v>71.209999999999994</v>
      </c>
      <c r="F291" s="75">
        <v>5.9999999999999995E-4</v>
      </c>
      <c r="G291" t="s">
        <v>48</v>
      </c>
      <c r="H291" t="s">
        <v>63</v>
      </c>
      <c r="I291" s="41" t="s">
        <v>32</v>
      </c>
      <c r="J291" s="1"/>
    </row>
    <row r="292" spans="1:10">
      <c r="A292">
        <v>291</v>
      </c>
      <c r="B292" t="s">
        <v>916</v>
      </c>
      <c r="C292" t="s">
        <v>917</v>
      </c>
      <c r="D292" t="s">
        <v>918</v>
      </c>
      <c r="E292" s="41">
        <v>69.19</v>
      </c>
      <c r="F292" s="75">
        <v>5.9999999999999995E-4</v>
      </c>
      <c r="G292" t="s">
        <v>48</v>
      </c>
      <c r="H292" t="s">
        <v>63</v>
      </c>
      <c r="I292" s="41" t="s">
        <v>32</v>
      </c>
      <c r="J292" s="1"/>
    </row>
    <row r="293" spans="1:10">
      <c r="A293">
        <v>292</v>
      </c>
      <c r="B293" t="s">
        <v>919</v>
      </c>
      <c r="C293" t="s">
        <v>920</v>
      </c>
      <c r="D293" t="s">
        <v>921</v>
      </c>
      <c r="E293" s="41">
        <v>48</v>
      </c>
      <c r="F293" s="75">
        <v>5.9999999999999995E-4</v>
      </c>
      <c r="G293" t="s">
        <v>48</v>
      </c>
      <c r="H293" t="s">
        <v>63</v>
      </c>
      <c r="I293" s="41" t="s">
        <v>32</v>
      </c>
      <c r="J293" s="1"/>
    </row>
    <row r="294" spans="1:10">
      <c r="A294">
        <v>293</v>
      </c>
      <c r="B294" t="s">
        <v>922</v>
      </c>
      <c r="C294" t="s">
        <v>923</v>
      </c>
      <c r="D294" t="s">
        <v>924</v>
      </c>
      <c r="E294" s="41">
        <v>79.34</v>
      </c>
      <c r="F294" s="75">
        <v>5.9999999999999995E-4</v>
      </c>
      <c r="G294" t="s">
        <v>48</v>
      </c>
      <c r="H294" t="s">
        <v>71</v>
      </c>
      <c r="I294" s="41" t="s">
        <v>32</v>
      </c>
      <c r="J294" s="1"/>
    </row>
    <row r="295" spans="1:10">
      <c r="A295">
        <v>294</v>
      </c>
      <c r="B295" t="s">
        <v>925</v>
      </c>
      <c r="C295" t="s">
        <v>926</v>
      </c>
      <c r="D295" t="s">
        <v>927</v>
      </c>
      <c r="E295" s="41">
        <v>32.26</v>
      </c>
      <c r="F295" s="75">
        <v>5.9999999999999995E-4</v>
      </c>
      <c r="G295" t="s">
        <v>48</v>
      </c>
      <c r="H295" t="s">
        <v>63</v>
      </c>
      <c r="I295" s="41" t="s">
        <v>32</v>
      </c>
      <c r="J295" s="1"/>
    </row>
    <row r="296" spans="1:10">
      <c r="A296">
        <v>295</v>
      </c>
      <c r="B296" t="s">
        <v>928</v>
      </c>
      <c r="C296" t="s">
        <v>929</v>
      </c>
      <c r="D296" s="26" t="s">
        <v>930</v>
      </c>
      <c r="E296" s="73">
        <v>63.46</v>
      </c>
      <c r="F296" s="75">
        <v>5.9999999999999995E-4</v>
      </c>
      <c r="G296" t="s">
        <v>48</v>
      </c>
      <c r="H296" t="s">
        <v>71</v>
      </c>
      <c r="I296" s="41" t="s">
        <v>102</v>
      </c>
      <c r="J296" s="1"/>
    </row>
    <row r="297" spans="1:10">
      <c r="A297">
        <v>296</v>
      </c>
      <c r="B297" t="s">
        <v>931</v>
      </c>
      <c r="C297" t="s">
        <v>932</v>
      </c>
      <c r="D297" t="s">
        <v>933</v>
      </c>
      <c r="E297" s="41">
        <v>76.86</v>
      </c>
      <c r="F297" s="75">
        <v>5.9999999999999995E-4</v>
      </c>
      <c r="G297" t="s">
        <v>59</v>
      </c>
      <c r="H297" t="s">
        <v>59</v>
      </c>
      <c r="I297" s="41" t="s">
        <v>32</v>
      </c>
      <c r="J297" s="1"/>
    </row>
    <row r="298" spans="1:10">
      <c r="A298">
        <v>297</v>
      </c>
      <c r="B298" t="s">
        <v>934</v>
      </c>
      <c r="C298" t="s">
        <v>935</v>
      </c>
      <c r="D298" t="s">
        <v>936</v>
      </c>
      <c r="E298" s="41">
        <v>80.28</v>
      </c>
      <c r="F298" s="75">
        <v>5.9999999999999995E-4</v>
      </c>
      <c r="G298" t="s">
        <v>34</v>
      </c>
      <c r="H298" t="s">
        <v>43</v>
      </c>
      <c r="I298" s="41" t="s">
        <v>32</v>
      </c>
      <c r="J298" s="1"/>
    </row>
    <row r="299" spans="1:10">
      <c r="A299">
        <v>298</v>
      </c>
      <c r="B299" t="s">
        <v>937</v>
      </c>
      <c r="C299" t="s">
        <v>938</v>
      </c>
      <c r="D299" t="s">
        <v>939</v>
      </c>
      <c r="E299" s="41">
        <v>61.45</v>
      </c>
      <c r="F299" s="75">
        <v>5.9999999999999995E-4</v>
      </c>
      <c r="G299" t="s">
        <v>34</v>
      </c>
      <c r="H299" t="s">
        <v>43</v>
      </c>
      <c r="I299" s="41" t="s">
        <v>32</v>
      </c>
      <c r="J299" s="1"/>
    </row>
    <row r="300" spans="1:10">
      <c r="A300">
        <v>299</v>
      </c>
      <c r="B300" t="s">
        <v>940</v>
      </c>
      <c r="C300" t="s">
        <v>941</v>
      </c>
      <c r="D300" t="s">
        <v>942</v>
      </c>
      <c r="E300" s="41">
        <v>60.75</v>
      </c>
      <c r="F300" s="75">
        <v>5.9999999999999995E-4</v>
      </c>
      <c r="G300" t="s">
        <v>34</v>
      </c>
      <c r="H300" t="s">
        <v>54</v>
      </c>
      <c r="I300" s="41" t="s">
        <v>32</v>
      </c>
      <c r="J300" s="1"/>
    </row>
    <row r="301" spans="1:10">
      <c r="A301">
        <v>300</v>
      </c>
      <c r="B301" t="s">
        <v>943</v>
      </c>
      <c r="C301" t="s">
        <v>944</v>
      </c>
      <c r="D301" t="s">
        <v>945</v>
      </c>
      <c r="E301" s="41">
        <v>61.27</v>
      </c>
      <c r="F301" s="75">
        <v>5.9999999999999995E-4</v>
      </c>
      <c r="G301" t="s">
        <v>34</v>
      </c>
      <c r="H301" t="s">
        <v>54</v>
      </c>
      <c r="I301" s="41" t="s">
        <v>32</v>
      </c>
      <c r="J301" s="1"/>
    </row>
    <row r="302" spans="1:10">
      <c r="A302">
        <v>301</v>
      </c>
      <c r="B302" t="s">
        <v>946</v>
      </c>
      <c r="C302" t="s">
        <v>947</v>
      </c>
      <c r="D302" t="s">
        <v>948</v>
      </c>
      <c r="E302" s="41">
        <v>63.48</v>
      </c>
      <c r="F302" s="75">
        <v>5.9999999999999995E-4</v>
      </c>
      <c r="G302" t="s">
        <v>34</v>
      </c>
      <c r="H302" t="s">
        <v>43</v>
      </c>
      <c r="I302" s="41" t="s">
        <v>32</v>
      </c>
      <c r="J302" s="1"/>
    </row>
    <row r="303" spans="1:10">
      <c r="A303">
        <v>302</v>
      </c>
      <c r="B303" t="s">
        <v>949</v>
      </c>
      <c r="C303" t="s">
        <v>950</v>
      </c>
      <c r="D303" t="s">
        <v>951</v>
      </c>
      <c r="E303" s="41">
        <v>75.78</v>
      </c>
      <c r="F303" s="75">
        <v>5.9999999999999995E-4</v>
      </c>
      <c r="G303" t="s">
        <v>34</v>
      </c>
      <c r="H303" t="s">
        <v>54</v>
      </c>
      <c r="I303" s="41" t="s">
        <v>32</v>
      </c>
      <c r="J303" s="1"/>
    </row>
    <row r="304" spans="1:10">
      <c r="A304">
        <v>303</v>
      </c>
      <c r="B304" t="s">
        <v>952</v>
      </c>
      <c r="C304" t="s">
        <v>953</v>
      </c>
      <c r="D304" t="s">
        <v>954</v>
      </c>
      <c r="E304" s="41">
        <v>60.93</v>
      </c>
      <c r="F304" s="75">
        <v>5.9999999999999995E-4</v>
      </c>
      <c r="G304" t="s">
        <v>34</v>
      </c>
      <c r="H304" t="s">
        <v>43</v>
      </c>
      <c r="I304" s="41" t="s">
        <v>32</v>
      </c>
      <c r="J304" s="1"/>
    </row>
    <row r="305" spans="1:10">
      <c r="A305">
        <v>304</v>
      </c>
      <c r="B305" t="s">
        <v>955</v>
      </c>
      <c r="C305" t="s">
        <v>956</v>
      </c>
      <c r="D305" t="s">
        <v>957</v>
      </c>
      <c r="E305" s="41">
        <v>66.53</v>
      </c>
      <c r="F305" s="75">
        <v>2.9999999999999997E-4</v>
      </c>
      <c r="G305" t="s">
        <v>34</v>
      </c>
      <c r="H305" t="s">
        <v>33</v>
      </c>
      <c r="I305" s="41" t="s">
        <v>32</v>
      </c>
      <c r="J305" s="1"/>
    </row>
    <row r="306" spans="1:10">
      <c r="A306">
        <v>305</v>
      </c>
      <c r="B306" t="s">
        <v>958</v>
      </c>
      <c r="C306" t="s">
        <v>959</v>
      </c>
      <c r="D306" t="s">
        <v>960</v>
      </c>
      <c r="E306" s="41">
        <v>65.52</v>
      </c>
      <c r="F306" s="75">
        <v>1.4E-3</v>
      </c>
      <c r="G306" t="s">
        <v>34</v>
      </c>
      <c r="H306" t="s">
        <v>33</v>
      </c>
      <c r="I306" s="41" t="s">
        <v>32</v>
      </c>
      <c r="J306" s="1"/>
    </row>
    <row r="307" spans="1:10">
      <c r="A307">
        <v>306</v>
      </c>
      <c r="B307" t="s">
        <v>961</v>
      </c>
      <c r="C307" t="s">
        <v>962</v>
      </c>
      <c r="F307" s="75">
        <v>5.9999999999999995E-4</v>
      </c>
      <c r="G307" t="s">
        <v>98</v>
      </c>
      <c r="H307" t="s">
        <v>101</v>
      </c>
      <c r="I307" s="41" t="s">
        <v>102</v>
      </c>
      <c r="J307" s="1"/>
    </row>
    <row r="308" spans="1:10">
      <c r="A308">
        <v>307</v>
      </c>
      <c r="B308" t="s">
        <v>963</v>
      </c>
      <c r="C308" t="s">
        <v>964</v>
      </c>
      <c r="D308" t="s">
        <v>965</v>
      </c>
      <c r="E308" s="41">
        <v>76.75</v>
      </c>
      <c r="F308" s="75">
        <v>5.9999999999999995E-4</v>
      </c>
      <c r="G308" t="s">
        <v>52</v>
      </c>
      <c r="H308" t="s">
        <v>53</v>
      </c>
      <c r="I308" s="41" t="s">
        <v>32</v>
      </c>
      <c r="J308" s="1"/>
    </row>
    <row r="309" spans="1:10">
      <c r="A309">
        <v>308</v>
      </c>
      <c r="B309" t="s">
        <v>966</v>
      </c>
      <c r="C309" t="s">
        <v>967</v>
      </c>
      <c r="D309" t="s">
        <v>968</v>
      </c>
      <c r="E309" s="41">
        <v>85.12</v>
      </c>
      <c r="F309" s="75">
        <v>5.9999999999999995E-4</v>
      </c>
      <c r="G309" t="s">
        <v>52</v>
      </c>
      <c r="H309" t="s">
        <v>93</v>
      </c>
      <c r="I309" s="41" t="s">
        <v>32</v>
      </c>
      <c r="J309" s="1"/>
    </row>
    <row r="310" spans="1:10">
      <c r="A310">
        <v>309</v>
      </c>
      <c r="B310" t="s">
        <v>969</v>
      </c>
      <c r="C310" t="s">
        <v>970</v>
      </c>
      <c r="D310" t="s">
        <v>971</v>
      </c>
      <c r="E310" s="41">
        <v>30.12</v>
      </c>
      <c r="F310" s="75">
        <v>5.9999999999999995E-4</v>
      </c>
      <c r="G310" t="s">
        <v>52</v>
      </c>
      <c r="H310" t="s">
        <v>93</v>
      </c>
      <c r="I310" s="41" t="s">
        <v>32</v>
      </c>
      <c r="J310" s="1"/>
    </row>
    <row r="311" spans="1:10">
      <c r="A311">
        <v>310</v>
      </c>
      <c r="B311" t="s">
        <v>972</v>
      </c>
      <c r="C311" t="s">
        <v>973</v>
      </c>
      <c r="D311" t="s">
        <v>974</v>
      </c>
      <c r="E311" s="41">
        <v>74.88</v>
      </c>
      <c r="F311" s="75">
        <v>5.9999999999999995E-4</v>
      </c>
      <c r="G311" t="s">
        <v>75</v>
      </c>
      <c r="H311" t="s">
        <v>111</v>
      </c>
      <c r="I311" s="41" t="s">
        <v>32</v>
      </c>
      <c r="J311" s="1"/>
    </row>
    <row r="312" spans="1:10">
      <c r="A312">
        <v>311</v>
      </c>
      <c r="B312" t="s">
        <v>975</v>
      </c>
      <c r="C312" t="s">
        <v>976</v>
      </c>
      <c r="D312" t="s">
        <v>977</v>
      </c>
      <c r="E312" s="41">
        <v>77.23</v>
      </c>
      <c r="F312" s="75">
        <v>5.9999999999999995E-4</v>
      </c>
      <c r="G312" t="s">
        <v>75</v>
      </c>
      <c r="H312" t="s">
        <v>111</v>
      </c>
      <c r="I312" s="41" t="s">
        <v>32</v>
      </c>
      <c r="J312" s="1"/>
    </row>
    <row r="313" spans="1:10">
      <c r="A313">
        <v>312</v>
      </c>
      <c r="B313" t="s">
        <v>978</v>
      </c>
      <c r="C313" t="s">
        <v>979</v>
      </c>
      <c r="D313" t="s">
        <v>980</v>
      </c>
      <c r="E313" s="41">
        <v>35.090000000000003</v>
      </c>
      <c r="F313" s="75">
        <v>5.9999999999999995E-4</v>
      </c>
      <c r="G313" t="s">
        <v>75</v>
      </c>
      <c r="H313" t="s">
        <v>103</v>
      </c>
      <c r="I313" s="41" t="s">
        <v>32</v>
      </c>
      <c r="J313" s="1"/>
    </row>
    <row r="314" spans="1:10">
      <c r="A314">
        <v>313</v>
      </c>
      <c r="B314" t="s">
        <v>981</v>
      </c>
      <c r="C314" t="s">
        <v>982</v>
      </c>
      <c r="D314" t="s">
        <v>983</v>
      </c>
      <c r="E314" s="41">
        <v>22.98</v>
      </c>
      <c r="F314" s="75">
        <v>5.9999999999999995E-4</v>
      </c>
      <c r="G314" t="s">
        <v>75</v>
      </c>
      <c r="H314" t="s">
        <v>119</v>
      </c>
      <c r="I314" s="41" t="s">
        <v>32</v>
      </c>
      <c r="J314" s="1"/>
    </row>
    <row r="315" spans="1:10">
      <c r="A315">
        <v>314</v>
      </c>
      <c r="B315" t="s">
        <v>984</v>
      </c>
      <c r="C315" t="s">
        <v>985</v>
      </c>
      <c r="D315" t="s">
        <v>986</v>
      </c>
      <c r="E315" s="41">
        <v>65.349999999999994</v>
      </c>
      <c r="F315" s="75">
        <v>5.9999999999999995E-4</v>
      </c>
      <c r="G315" t="s">
        <v>115</v>
      </c>
      <c r="H315" t="s">
        <v>158</v>
      </c>
      <c r="I315" s="41" t="s">
        <v>32</v>
      </c>
      <c r="J315" s="1"/>
    </row>
    <row r="316" spans="1:10">
      <c r="A316">
        <v>315</v>
      </c>
      <c r="B316" t="s">
        <v>987</v>
      </c>
      <c r="C316" t="s">
        <v>988</v>
      </c>
      <c r="D316" t="s">
        <v>989</v>
      </c>
      <c r="E316" s="41">
        <v>78.180000000000007</v>
      </c>
      <c r="F316" s="75">
        <v>5.9999999999999995E-4</v>
      </c>
      <c r="G316" t="s">
        <v>115</v>
      </c>
      <c r="H316" t="s">
        <v>147</v>
      </c>
      <c r="I316" s="41" t="s">
        <v>32</v>
      </c>
      <c r="J316" s="1"/>
    </row>
    <row r="317" spans="1:10">
      <c r="A317">
        <v>316</v>
      </c>
      <c r="B317" t="s">
        <v>990</v>
      </c>
      <c r="C317" t="s">
        <v>991</v>
      </c>
      <c r="D317" t="s">
        <v>992</v>
      </c>
      <c r="E317" s="41">
        <v>77.86</v>
      </c>
      <c r="F317" s="75">
        <v>5.0000000000000001E-4</v>
      </c>
      <c r="G317" t="s">
        <v>115</v>
      </c>
      <c r="H317" t="s">
        <v>158</v>
      </c>
      <c r="I317" s="41" t="s">
        <v>32</v>
      </c>
      <c r="J317" s="1"/>
    </row>
    <row r="318" spans="1:10">
      <c r="A318">
        <v>317</v>
      </c>
      <c r="B318" t="s">
        <v>993</v>
      </c>
      <c r="C318" t="s">
        <v>994</v>
      </c>
      <c r="D318" t="s">
        <v>995</v>
      </c>
      <c r="E318" s="41">
        <v>80.3</v>
      </c>
      <c r="F318" s="75">
        <v>5.0000000000000001E-4</v>
      </c>
      <c r="G318" t="s">
        <v>107</v>
      </c>
      <c r="H318" t="s">
        <v>107</v>
      </c>
      <c r="I318" s="41" t="s">
        <v>32</v>
      </c>
      <c r="J318" s="1"/>
    </row>
    <row r="319" spans="1:10">
      <c r="A319">
        <v>318</v>
      </c>
      <c r="B319" t="s">
        <v>996</v>
      </c>
      <c r="C319" t="s">
        <v>997</v>
      </c>
      <c r="D319" t="s">
        <v>998</v>
      </c>
      <c r="E319" s="41">
        <v>74.040000000000006</v>
      </c>
      <c r="F319" s="75">
        <v>5.0000000000000001E-4</v>
      </c>
      <c r="G319" t="s">
        <v>30</v>
      </c>
      <c r="H319" t="s">
        <v>31</v>
      </c>
      <c r="I319" s="41" t="s">
        <v>32</v>
      </c>
      <c r="J319" s="1"/>
    </row>
    <row r="320" spans="1:10">
      <c r="A320">
        <v>319</v>
      </c>
      <c r="B320" t="s">
        <v>999</v>
      </c>
      <c r="C320" t="s">
        <v>1000</v>
      </c>
      <c r="D320" t="s">
        <v>1001</v>
      </c>
      <c r="E320" s="41">
        <v>85.37</v>
      </c>
      <c r="F320" s="75">
        <v>5.0000000000000001E-4</v>
      </c>
      <c r="G320" t="s">
        <v>123</v>
      </c>
      <c r="H320" t="s">
        <v>123</v>
      </c>
      <c r="I320" s="41" t="s">
        <v>32</v>
      </c>
      <c r="J320" s="1"/>
    </row>
    <row r="321" spans="1:10">
      <c r="A321">
        <v>320</v>
      </c>
      <c r="B321" t="s">
        <v>1002</v>
      </c>
      <c r="C321" t="s">
        <v>1003</v>
      </c>
      <c r="D321" t="s">
        <v>1004</v>
      </c>
      <c r="E321" s="41">
        <v>68.760000000000005</v>
      </c>
      <c r="F321" s="75">
        <v>5.0000000000000001E-4</v>
      </c>
      <c r="G321" t="s">
        <v>123</v>
      </c>
      <c r="H321" t="s">
        <v>123</v>
      </c>
      <c r="I321" s="41" t="s">
        <v>32</v>
      </c>
      <c r="J321" s="1"/>
    </row>
    <row r="322" spans="1:10">
      <c r="A322">
        <v>321</v>
      </c>
      <c r="B322" t="s">
        <v>1005</v>
      </c>
      <c r="C322" t="s">
        <v>1006</v>
      </c>
      <c r="D322" t="s">
        <v>1007</v>
      </c>
      <c r="E322" s="41">
        <v>67.88</v>
      </c>
      <c r="F322" s="75">
        <v>5.0000000000000001E-4</v>
      </c>
      <c r="G322" t="s">
        <v>89</v>
      </c>
      <c r="H322" t="s">
        <v>89</v>
      </c>
      <c r="I322" s="41" t="s">
        <v>32</v>
      </c>
      <c r="J322" s="1"/>
    </row>
    <row r="323" spans="1:10">
      <c r="A323">
        <v>322</v>
      </c>
      <c r="B323" t="s">
        <v>1008</v>
      </c>
      <c r="C323" t="s">
        <v>1009</v>
      </c>
      <c r="D323" t="s">
        <v>1010</v>
      </c>
      <c r="E323" s="41">
        <v>81.69</v>
      </c>
      <c r="F323" s="75">
        <v>5.0000000000000001E-4</v>
      </c>
      <c r="G323" t="s">
        <v>89</v>
      </c>
      <c r="H323" t="s">
        <v>89</v>
      </c>
      <c r="I323" s="41" t="s">
        <v>32</v>
      </c>
      <c r="J323" s="1"/>
    </row>
    <row r="324" spans="1:10">
      <c r="A324">
        <v>323</v>
      </c>
      <c r="B324" t="s">
        <v>1011</v>
      </c>
      <c r="C324" t="s">
        <v>1012</v>
      </c>
      <c r="D324" t="s">
        <v>1013</v>
      </c>
      <c r="E324" s="41">
        <v>90.75</v>
      </c>
      <c r="F324" s="75">
        <v>5.0000000000000001E-4</v>
      </c>
      <c r="G324" t="s">
        <v>89</v>
      </c>
      <c r="H324" t="s">
        <v>89</v>
      </c>
      <c r="I324" s="41" t="s">
        <v>32</v>
      </c>
      <c r="J324" s="1"/>
    </row>
    <row r="325" spans="1:10">
      <c r="A325">
        <v>324</v>
      </c>
      <c r="B325" t="s">
        <v>1014</v>
      </c>
      <c r="C325" t="s">
        <v>1015</v>
      </c>
      <c r="D325" t="s">
        <v>1016</v>
      </c>
      <c r="E325" s="41">
        <v>87.45</v>
      </c>
      <c r="F325" s="75">
        <v>5.0000000000000001E-4</v>
      </c>
      <c r="G325" t="s">
        <v>89</v>
      </c>
      <c r="H325" t="s">
        <v>89</v>
      </c>
      <c r="I325" s="41" t="s">
        <v>32</v>
      </c>
      <c r="J325" s="1"/>
    </row>
    <row r="326" spans="1:10">
      <c r="A326">
        <v>325</v>
      </c>
      <c r="B326" t="s">
        <v>1017</v>
      </c>
      <c r="C326" t="s">
        <v>1018</v>
      </c>
      <c r="D326" t="s">
        <v>1019</v>
      </c>
      <c r="E326" s="41">
        <v>51.93</v>
      </c>
      <c r="F326" s="75">
        <v>5.0000000000000001E-4</v>
      </c>
      <c r="G326" t="s">
        <v>48</v>
      </c>
      <c r="H326" t="s">
        <v>71</v>
      </c>
      <c r="I326" s="41" t="s">
        <v>32</v>
      </c>
      <c r="J326" s="1"/>
    </row>
    <row r="327" spans="1:10">
      <c r="A327">
        <v>326</v>
      </c>
      <c r="B327" t="s">
        <v>1020</v>
      </c>
      <c r="C327" t="s">
        <v>1021</v>
      </c>
      <c r="D327" t="s">
        <v>1022</v>
      </c>
      <c r="E327" s="41">
        <v>77.84</v>
      </c>
      <c r="F327" s="75">
        <v>5.0000000000000001E-4</v>
      </c>
      <c r="G327" t="s">
        <v>48</v>
      </c>
      <c r="H327" t="s">
        <v>71</v>
      </c>
      <c r="I327" s="41" t="s">
        <v>32</v>
      </c>
      <c r="J327" s="1"/>
    </row>
    <row r="328" spans="1:10">
      <c r="A328">
        <v>327</v>
      </c>
      <c r="B328" t="s">
        <v>1023</v>
      </c>
      <c r="C328" t="s">
        <v>1024</v>
      </c>
      <c r="D328" t="s">
        <v>1025</v>
      </c>
      <c r="E328" s="41">
        <v>65.08</v>
      </c>
      <c r="F328" s="75">
        <v>5.0000000000000001E-4</v>
      </c>
      <c r="G328" t="s">
        <v>48</v>
      </c>
      <c r="H328" t="s">
        <v>63</v>
      </c>
      <c r="I328" s="41" t="s">
        <v>32</v>
      </c>
      <c r="J328" s="1"/>
    </row>
    <row r="329" spans="1:10">
      <c r="A329">
        <v>328</v>
      </c>
      <c r="B329" t="s">
        <v>1026</v>
      </c>
      <c r="C329" t="s">
        <v>1027</v>
      </c>
      <c r="D329" t="s">
        <v>1028</v>
      </c>
      <c r="E329" s="41">
        <v>80.069999999999993</v>
      </c>
      <c r="F329" s="75">
        <v>5.0000000000000001E-4</v>
      </c>
      <c r="G329" t="s">
        <v>48</v>
      </c>
      <c r="H329" t="s">
        <v>63</v>
      </c>
      <c r="I329" s="41" t="s">
        <v>32</v>
      </c>
      <c r="J329" s="1"/>
    </row>
    <row r="330" spans="1:10">
      <c r="A330">
        <v>329</v>
      </c>
      <c r="B330" t="s">
        <v>1029</v>
      </c>
      <c r="C330" t="s">
        <v>1030</v>
      </c>
      <c r="D330" t="s">
        <v>1031</v>
      </c>
      <c r="E330" s="41">
        <v>75.53</v>
      </c>
      <c r="F330" s="75">
        <v>5.0000000000000001E-4</v>
      </c>
      <c r="G330" t="s">
        <v>48</v>
      </c>
      <c r="H330" t="s">
        <v>63</v>
      </c>
      <c r="I330" s="41" t="s">
        <v>32</v>
      </c>
      <c r="J330" s="1"/>
    </row>
    <row r="331" spans="1:10">
      <c r="A331">
        <v>330</v>
      </c>
      <c r="B331" t="s">
        <v>1032</v>
      </c>
      <c r="C331" t="s">
        <v>1033</v>
      </c>
      <c r="D331" t="s">
        <v>1034</v>
      </c>
      <c r="E331" s="41">
        <v>83.83</v>
      </c>
      <c r="F331" s="75">
        <v>5.0000000000000001E-4</v>
      </c>
      <c r="G331" t="s">
        <v>48</v>
      </c>
      <c r="H331" t="s">
        <v>71</v>
      </c>
      <c r="I331" s="41" t="s">
        <v>32</v>
      </c>
      <c r="J331" s="1"/>
    </row>
    <row r="332" spans="1:10">
      <c r="A332">
        <v>331</v>
      </c>
      <c r="B332" t="s">
        <v>1035</v>
      </c>
      <c r="C332" t="s">
        <v>1036</v>
      </c>
      <c r="D332" t="s">
        <v>395</v>
      </c>
      <c r="E332" s="41">
        <v>50.44</v>
      </c>
      <c r="F332" s="75">
        <v>5.0000000000000001E-4</v>
      </c>
      <c r="G332" t="s">
        <v>48</v>
      </c>
      <c r="H332" t="s">
        <v>63</v>
      </c>
      <c r="I332" s="41" t="s">
        <v>32</v>
      </c>
      <c r="J332" s="1"/>
    </row>
    <row r="333" spans="1:10">
      <c r="A333">
        <v>332</v>
      </c>
      <c r="B333" t="s">
        <v>1037</v>
      </c>
      <c r="C333" t="s">
        <v>1038</v>
      </c>
      <c r="D333" t="s">
        <v>1039</v>
      </c>
      <c r="E333" s="41">
        <v>57.36</v>
      </c>
      <c r="F333" s="75">
        <v>5.0000000000000001E-4</v>
      </c>
      <c r="G333" t="s">
        <v>59</v>
      </c>
      <c r="H333" t="s">
        <v>59</v>
      </c>
      <c r="I333" s="41" t="s">
        <v>32</v>
      </c>
      <c r="J333" s="1"/>
    </row>
    <row r="334" spans="1:10">
      <c r="A334">
        <v>333</v>
      </c>
      <c r="B334" t="s">
        <v>1040</v>
      </c>
      <c r="C334" t="s">
        <v>1041</v>
      </c>
      <c r="D334" t="s">
        <v>1042</v>
      </c>
      <c r="E334" s="41">
        <v>79.78</v>
      </c>
      <c r="F334" s="75">
        <v>5.0000000000000001E-4</v>
      </c>
      <c r="G334" t="s">
        <v>59</v>
      </c>
      <c r="H334" t="s">
        <v>59</v>
      </c>
      <c r="I334" s="41" t="s">
        <v>32</v>
      </c>
      <c r="J334" s="1"/>
    </row>
    <row r="335" spans="1:10">
      <c r="A335">
        <v>334</v>
      </c>
      <c r="B335" t="s">
        <v>1043</v>
      </c>
      <c r="C335" t="s">
        <v>1044</v>
      </c>
      <c r="D335" t="s">
        <v>1045</v>
      </c>
      <c r="E335" s="41">
        <v>77.739999999999995</v>
      </c>
      <c r="F335" s="75">
        <v>5.0000000000000001E-4</v>
      </c>
      <c r="G335" t="s">
        <v>59</v>
      </c>
      <c r="H335" t="s">
        <v>59</v>
      </c>
      <c r="I335" s="41" t="s">
        <v>32</v>
      </c>
      <c r="J335" s="1"/>
    </row>
    <row r="336" spans="1:10">
      <c r="A336">
        <v>335</v>
      </c>
      <c r="B336" t="s">
        <v>1046</v>
      </c>
      <c r="C336" t="s">
        <v>1047</v>
      </c>
      <c r="D336" t="s">
        <v>1048</v>
      </c>
      <c r="E336" s="41">
        <v>75.89</v>
      </c>
      <c r="F336" s="75">
        <v>5.0000000000000001E-4</v>
      </c>
      <c r="G336" t="s">
        <v>59</v>
      </c>
      <c r="H336" t="s">
        <v>59</v>
      </c>
      <c r="I336" s="41" t="s">
        <v>32</v>
      </c>
      <c r="J336" s="1"/>
    </row>
    <row r="337" spans="1:10">
      <c r="A337">
        <v>336</v>
      </c>
      <c r="B337" t="s">
        <v>1049</v>
      </c>
      <c r="C337" t="s">
        <v>1050</v>
      </c>
      <c r="D337" t="s">
        <v>1051</v>
      </c>
      <c r="E337" s="41">
        <v>75.510000000000005</v>
      </c>
      <c r="F337" s="75">
        <v>5.0000000000000001E-4</v>
      </c>
      <c r="G337" t="s">
        <v>59</v>
      </c>
      <c r="H337" t="s">
        <v>59</v>
      </c>
      <c r="I337" s="41" t="s">
        <v>32</v>
      </c>
      <c r="J337" s="1"/>
    </row>
    <row r="338" spans="1:10">
      <c r="A338">
        <v>337</v>
      </c>
      <c r="B338" t="s">
        <v>1052</v>
      </c>
      <c r="C338" t="s">
        <v>1053</v>
      </c>
      <c r="D338" t="s">
        <v>1054</v>
      </c>
      <c r="E338" s="41">
        <v>73.92</v>
      </c>
      <c r="F338" s="75">
        <v>5.0000000000000001E-4</v>
      </c>
      <c r="G338" t="s">
        <v>59</v>
      </c>
      <c r="H338" t="s">
        <v>59</v>
      </c>
      <c r="I338" s="41" t="s">
        <v>32</v>
      </c>
      <c r="J338" s="1"/>
    </row>
    <row r="339" spans="1:10">
      <c r="A339">
        <v>338</v>
      </c>
      <c r="B339" t="s">
        <v>1055</v>
      </c>
      <c r="C339" t="s">
        <v>1056</v>
      </c>
      <c r="D339" t="s">
        <v>1057</v>
      </c>
      <c r="E339" s="41">
        <v>80.39</v>
      </c>
      <c r="F339" s="75">
        <v>5.0000000000000001E-4</v>
      </c>
      <c r="G339" t="s">
        <v>34</v>
      </c>
      <c r="H339" t="s">
        <v>43</v>
      </c>
      <c r="I339" s="41" t="s">
        <v>32</v>
      </c>
      <c r="J339" s="1"/>
    </row>
    <row r="340" spans="1:10">
      <c r="A340">
        <v>339</v>
      </c>
      <c r="B340" t="s">
        <v>1058</v>
      </c>
      <c r="C340" t="s">
        <v>1059</v>
      </c>
      <c r="D340" t="s">
        <v>1060</v>
      </c>
      <c r="E340" s="41">
        <v>59.31</v>
      </c>
      <c r="F340" s="75">
        <v>5.0000000000000001E-4</v>
      </c>
      <c r="G340" t="s">
        <v>34</v>
      </c>
      <c r="H340" t="s">
        <v>54</v>
      </c>
      <c r="I340" s="41" t="s">
        <v>32</v>
      </c>
      <c r="J340" s="1"/>
    </row>
    <row r="341" spans="1:10">
      <c r="A341">
        <v>340</v>
      </c>
      <c r="B341" t="s">
        <v>1061</v>
      </c>
      <c r="C341" t="s">
        <v>1062</v>
      </c>
      <c r="D341" t="s">
        <v>1063</v>
      </c>
      <c r="E341" s="41">
        <v>76.64</v>
      </c>
      <c r="F341" s="75">
        <v>5.0000000000000001E-4</v>
      </c>
      <c r="G341" t="s">
        <v>34</v>
      </c>
      <c r="H341" t="s">
        <v>43</v>
      </c>
      <c r="I341" s="41" t="s">
        <v>32</v>
      </c>
      <c r="J341" s="1"/>
    </row>
    <row r="342" spans="1:10">
      <c r="A342">
        <v>341</v>
      </c>
      <c r="B342" t="s">
        <v>1064</v>
      </c>
      <c r="C342" t="s">
        <v>1065</v>
      </c>
      <c r="D342" t="s">
        <v>1066</v>
      </c>
      <c r="E342" s="41">
        <v>77.95</v>
      </c>
      <c r="F342" s="75">
        <v>5.0000000000000001E-4</v>
      </c>
      <c r="G342" t="s">
        <v>34</v>
      </c>
      <c r="H342" t="s">
        <v>43</v>
      </c>
      <c r="I342" s="41" t="s">
        <v>32</v>
      </c>
      <c r="J342" s="1"/>
    </row>
    <row r="343" spans="1:10">
      <c r="A343">
        <v>342</v>
      </c>
      <c r="B343" t="s">
        <v>1067</v>
      </c>
      <c r="C343" t="s">
        <v>1068</v>
      </c>
      <c r="D343" t="s">
        <v>886</v>
      </c>
      <c r="E343" s="41">
        <v>49.24</v>
      </c>
      <c r="F343" s="75">
        <v>5.0000000000000001E-4</v>
      </c>
      <c r="G343" t="s">
        <v>34</v>
      </c>
      <c r="H343" t="s">
        <v>54</v>
      </c>
      <c r="I343" s="41" t="s">
        <v>32</v>
      </c>
      <c r="J343" s="1"/>
    </row>
    <row r="344" spans="1:10">
      <c r="A344">
        <v>343</v>
      </c>
      <c r="B344" t="s">
        <v>1069</v>
      </c>
      <c r="C344" t="s">
        <v>1070</v>
      </c>
      <c r="D344" t="s">
        <v>1071</v>
      </c>
      <c r="E344" s="41">
        <v>66.39</v>
      </c>
      <c r="F344" s="75">
        <v>5.0000000000000001E-4</v>
      </c>
      <c r="G344" t="s">
        <v>34</v>
      </c>
      <c r="H344" t="s">
        <v>54</v>
      </c>
      <c r="I344" s="41" t="s">
        <v>32</v>
      </c>
      <c r="J344" s="1"/>
    </row>
    <row r="345" spans="1:10">
      <c r="A345">
        <v>344</v>
      </c>
      <c r="B345" t="s">
        <v>1072</v>
      </c>
      <c r="C345" t="s">
        <v>1073</v>
      </c>
      <c r="D345" t="s">
        <v>1074</v>
      </c>
      <c r="E345" s="41">
        <v>65.02</v>
      </c>
      <c r="F345" s="75">
        <v>1.6000000000000001E-3</v>
      </c>
      <c r="G345" t="s">
        <v>34</v>
      </c>
      <c r="H345" t="s">
        <v>33</v>
      </c>
      <c r="I345" s="41" t="s">
        <v>32</v>
      </c>
      <c r="J345" s="1"/>
    </row>
    <row r="346" spans="1:10">
      <c r="A346">
        <v>345</v>
      </c>
      <c r="B346" t="s">
        <v>1075</v>
      </c>
      <c r="C346" t="s">
        <v>1076</v>
      </c>
      <c r="F346" s="75">
        <v>5.0000000000000001E-4</v>
      </c>
      <c r="G346" t="s">
        <v>98</v>
      </c>
      <c r="H346" t="s">
        <v>101</v>
      </c>
      <c r="I346" s="41" t="s">
        <v>102</v>
      </c>
      <c r="J346" s="1"/>
    </row>
    <row r="347" spans="1:10">
      <c r="A347">
        <v>346</v>
      </c>
      <c r="B347" t="s">
        <v>1077</v>
      </c>
      <c r="C347" t="s">
        <v>1078</v>
      </c>
      <c r="D347" s="26" t="s">
        <v>1079</v>
      </c>
      <c r="E347" s="73">
        <v>42.61</v>
      </c>
      <c r="F347" s="75">
        <v>5.0000000000000001E-4</v>
      </c>
      <c r="G347" t="s">
        <v>98</v>
      </c>
      <c r="H347" t="s">
        <v>101</v>
      </c>
      <c r="I347" s="41" t="s">
        <v>102</v>
      </c>
      <c r="J347" s="1"/>
    </row>
    <row r="348" spans="1:10">
      <c r="A348">
        <v>347</v>
      </c>
      <c r="B348" t="s">
        <v>1080</v>
      </c>
      <c r="C348" t="s">
        <v>1081</v>
      </c>
      <c r="D348" t="s">
        <v>1082</v>
      </c>
      <c r="E348" s="41">
        <v>63.43</v>
      </c>
      <c r="F348" s="75">
        <v>5.0000000000000001E-4</v>
      </c>
      <c r="G348" t="s">
        <v>98</v>
      </c>
      <c r="H348" t="s">
        <v>101</v>
      </c>
      <c r="I348" s="41" t="s">
        <v>102</v>
      </c>
      <c r="J348" s="1"/>
    </row>
    <row r="349" spans="1:10">
      <c r="A349">
        <v>348</v>
      </c>
      <c r="B349" t="s">
        <v>1083</v>
      </c>
      <c r="C349" t="s">
        <v>1084</v>
      </c>
      <c r="D349" t="s">
        <v>1085</v>
      </c>
      <c r="E349" s="41">
        <v>76</v>
      </c>
      <c r="F349" s="75">
        <v>5.0000000000000001E-4</v>
      </c>
      <c r="G349" t="s">
        <v>52</v>
      </c>
      <c r="H349" t="s">
        <v>93</v>
      </c>
      <c r="I349" s="41" t="s">
        <v>32</v>
      </c>
      <c r="J349" s="1"/>
    </row>
    <row r="350" spans="1:10">
      <c r="A350">
        <v>349</v>
      </c>
      <c r="B350" t="s">
        <v>1086</v>
      </c>
      <c r="C350" t="s">
        <v>1087</v>
      </c>
      <c r="D350" t="s">
        <v>1088</v>
      </c>
      <c r="E350" s="41">
        <v>77.150000000000006</v>
      </c>
      <c r="F350" s="75">
        <v>5.0000000000000001E-4</v>
      </c>
      <c r="G350" t="s">
        <v>52</v>
      </c>
      <c r="H350" t="s">
        <v>93</v>
      </c>
      <c r="I350" s="41" t="s">
        <v>32</v>
      </c>
      <c r="J350" s="1"/>
    </row>
    <row r="351" spans="1:10">
      <c r="A351">
        <v>350</v>
      </c>
      <c r="B351" t="s">
        <v>1089</v>
      </c>
      <c r="C351" t="s">
        <v>1090</v>
      </c>
      <c r="D351" t="s">
        <v>1091</v>
      </c>
      <c r="E351" s="41">
        <v>78.53</v>
      </c>
      <c r="F351" s="75">
        <v>5.0000000000000001E-4</v>
      </c>
      <c r="G351" t="s">
        <v>75</v>
      </c>
      <c r="H351" t="s">
        <v>119</v>
      </c>
      <c r="I351" s="41" t="s">
        <v>32</v>
      </c>
      <c r="J351" s="1"/>
    </row>
    <row r="352" spans="1:10">
      <c r="A352">
        <v>351</v>
      </c>
      <c r="B352" t="s">
        <v>1092</v>
      </c>
      <c r="C352" t="s">
        <v>1093</v>
      </c>
      <c r="D352" t="s">
        <v>1094</v>
      </c>
      <c r="E352" s="41">
        <v>16.54</v>
      </c>
      <c r="F352" s="75">
        <v>5.0000000000000001E-4</v>
      </c>
      <c r="G352" t="s">
        <v>75</v>
      </c>
      <c r="H352" t="s">
        <v>103</v>
      </c>
      <c r="I352" s="41" t="s">
        <v>32</v>
      </c>
      <c r="J352" s="1"/>
    </row>
    <row r="353" spans="1:10">
      <c r="A353">
        <v>352</v>
      </c>
      <c r="B353" t="s">
        <v>1095</v>
      </c>
      <c r="C353" t="s">
        <v>1096</v>
      </c>
      <c r="D353" t="s">
        <v>1097</v>
      </c>
      <c r="E353" s="41">
        <v>64.7</v>
      </c>
      <c r="F353" s="75">
        <v>5.0000000000000001E-4</v>
      </c>
      <c r="G353" t="s">
        <v>75</v>
      </c>
      <c r="H353" t="s">
        <v>103</v>
      </c>
      <c r="I353" s="41" t="s">
        <v>32</v>
      </c>
      <c r="J353" s="1"/>
    </row>
    <row r="354" spans="1:10">
      <c r="A354">
        <v>353</v>
      </c>
      <c r="B354" t="s">
        <v>1098</v>
      </c>
      <c r="C354" t="s">
        <v>1099</v>
      </c>
      <c r="D354" t="s">
        <v>1100</v>
      </c>
      <c r="E354" s="41">
        <v>41.97</v>
      </c>
      <c r="F354" s="75">
        <v>5.0000000000000001E-4</v>
      </c>
      <c r="G354" t="s">
        <v>75</v>
      </c>
      <c r="H354" t="s">
        <v>103</v>
      </c>
      <c r="I354" s="41" t="s">
        <v>32</v>
      </c>
      <c r="J354" s="1"/>
    </row>
    <row r="355" spans="1:10">
      <c r="A355">
        <v>354</v>
      </c>
      <c r="B355" t="s">
        <v>1101</v>
      </c>
      <c r="C355" t="s">
        <v>1102</v>
      </c>
      <c r="D355" t="s">
        <v>1103</v>
      </c>
      <c r="E355" s="41">
        <v>73.53</v>
      </c>
      <c r="F355" s="75">
        <v>5.0000000000000001E-4</v>
      </c>
      <c r="G355" t="s">
        <v>75</v>
      </c>
      <c r="H355" t="s">
        <v>103</v>
      </c>
      <c r="I355" s="41" t="s">
        <v>32</v>
      </c>
      <c r="J355" s="1"/>
    </row>
    <row r="356" spans="1:10">
      <c r="A356">
        <v>355</v>
      </c>
      <c r="B356" t="s">
        <v>1104</v>
      </c>
      <c r="C356" t="s">
        <v>1105</v>
      </c>
      <c r="D356" t="s">
        <v>1106</v>
      </c>
      <c r="E356" s="41">
        <v>64.83</v>
      </c>
      <c r="F356" s="75">
        <v>5.0000000000000001E-4</v>
      </c>
      <c r="G356" t="s">
        <v>75</v>
      </c>
      <c r="H356" t="s">
        <v>103</v>
      </c>
      <c r="I356" s="41" t="s">
        <v>32</v>
      </c>
      <c r="J356" s="1"/>
    </row>
    <row r="357" spans="1:10">
      <c r="A357">
        <v>356</v>
      </c>
      <c r="B357" t="s">
        <v>1107</v>
      </c>
      <c r="C357" t="s">
        <v>1108</v>
      </c>
      <c r="F357" s="75">
        <v>4.0000000000000002E-4</v>
      </c>
      <c r="G357" t="s">
        <v>115</v>
      </c>
      <c r="H357" t="s">
        <v>158</v>
      </c>
      <c r="I357" s="41" t="s">
        <v>102</v>
      </c>
      <c r="J357" s="1"/>
    </row>
    <row r="358" spans="1:10">
      <c r="A358">
        <v>357</v>
      </c>
      <c r="B358" t="s">
        <v>1109</v>
      </c>
      <c r="C358" t="s">
        <v>1110</v>
      </c>
      <c r="D358" t="s">
        <v>1111</v>
      </c>
      <c r="E358" s="41">
        <v>37.67</v>
      </c>
      <c r="F358" s="75">
        <v>4.0000000000000002E-4</v>
      </c>
      <c r="G358" t="s">
        <v>115</v>
      </c>
      <c r="H358" t="s">
        <v>147</v>
      </c>
      <c r="I358" s="41" t="s">
        <v>32</v>
      </c>
      <c r="J358" s="1"/>
    </row>
    <row r="359" spans="1:10">
      <c r="A359">
        <v>358</v>
      </c>
      <c r="B359" t="s">
        <v>1112</v>
      </c>
      <c r="C359" t="s">
        <v>1113</v>
      </c>
      <c r="D359" t="s">
        <v>1114</v>
      </c>
      <c r="E359" s="41">
        <v>62.57</v>
      </c>
      <c r="F359" s="75">
        <v>4.0000000000000002E-4</v>
      </c>
      <c r="G359" t="s">
        <v>107</v>
      </c>
      <c r="H359" t="s">
        <v>107</v>
      </c>
      <c r="I359" s="41" t="s">
        <v>32</v>
      </c>
      <c r="J359" s="1"/>
    </row>
    <row r="360" spans="1:10">
      <c r="A360">
        <v>359</v>
      </c>
      <c r="B360" t="s">
        <v>1115</v>
      </c>
      <c r="C360" t="s">
        <v>1116</v>
      </c>
      <c r="D360" t="s">
        <v>1117</v>
      </c>
      <c r="E360" s="41">
        <v>65.28</v>
      </c>
      <c r="F360" s="75">
        <v>4.0000000000000002E-4</v>
      </c>
      <c r="G360" t="s">
        <v>107</v>
      </c>
      <c r="H360" t="s">
        <v>107</v>
      </c>
      <c r="I360" s="41" t="s">
        <v>32</v>
      </c>
      <c r="J360" s="1"/>
    </row>
    <row r="361" spans="1:10">
      <c r="A361">
        <v>360</v>
      </c>
      <c r="B361" t="s">
        <v>1118</v>
      </c>
      <c r="C361" t="s">
        <v>1119</v>
      </c>
      <c r="D361" t="s">
        <v>1120</v>
      </c>
      <c r="E361" s="41">
        <v>73.59</v>
      </c>
      <c r="F361" s="75">
        <v>4.0000000000000002E-4</v>
      </c>
      <c r="G361" t="s">
        <v>30</v>
      </c>
      <c r="H361" t="s">
        <v>31</v>
      </c>
      <c r="I361" s="41" t="s">
        <v>32</v>
      </c>
      <c r="J361" s="1"/>
    </row>
    <row r="362" spans="1:10">
      <c r="A362">
        <v>361</v>
      </c>
      <c r="B362" t="s">
        <v>1121</v>
      </c>
      <c r="C362" t="s">
        <v>1122</v>
      </c>
      <c r="D362" t="s">
        <v>1123</v>
      </c>
      <c r="E362" s="41">
        <v>43.72</v>
      </c>
      <c r="F362" s="75">
        <v>4.0000000000000002E-4</v>
      </c>
      <c r="G362" t="s">
        <v>30</v>
      </c>
      <c r="H362" t="s">
        <v>42</v>
      </c>
      <c r="I362" s="41" t="s">
        <v>32</v>
      </c>
      <c r="J362" s="1"/>
    </row>
    <row r="363" spans="1:10">
      <c r="A363">
        <v>362</v>
      </c>
      <c r="B363" t="s">
        <v>1124</v>
      </c>
      <c r="C363" t="s">
        <v>1125</v>
      </c>
      <c r="F363" s="75">
        <v>4.0000000000000002E-4</v>
      </c>
      <c r="G363" t="s">
        <v>30</v>
      </c>
      <c r="H363" t="s">
        <v>42</v>
      </c>
      <c r="I363" s="41" t="s">
        <v>1126</v>
      </c>
      <c r="J363" s="1"/>
    </row>
    <row r="364" spans="1:10">
      <c r="A364">
        <v>363</v>
      </c>
      <c r="B364" t="s">
        <v>1127</v>
      </c>
      <c r="C364" t="s">
        <v>1128</v>
      </c>
      <c r="D364" t="s">
        <v>1129</v>
      </c>
      <c r="E364" s="41">
        <v>37</v>
      </c>
      <c r="F364" s="75">
        <v>4.0000000000000002E-4</v>
      </c>
      <c r="G364" t="s">
        <v>30</v>
      </c>
      <c r="H364" t="s">
        <v>31</v>
      </c>
      <c r="I364" s="41" t="s">
        <v>32</v>
      </c>
      <c r="J364" s="1"/>
    </row>
    <row r="365" spans="1:10">
      <c r="A365">
        <v>364</v>
      </c>
      <c r="B365" t="s">
        <v>1130</v>
      </c>
      <c r="C365" t="s">
        <v>1131</v>
      </c>
      <c r="D365" t="s">
        <v>1132</v>
      </c>
      <c r="E365" s="41">
        <v>38.69</v>
      </c>
      <c r="F365" s="75">
        <v>4.0000000000000002E-4</v>
      </c>
      <c r="G365" t="s">
        <v>123</v>
      </c>
      <c r="H365" t="s">
        <v>123</v>
      </c>
      <c r="I365" s="41" t="s">
        <v>32</v>
      </c>
      <c r="J365" s="1"/>
    </row>
    <row r="366" spans="1:10">
      <c r="A366">
        <v>365</v>
      </c>
      <c r="B366" t="s">
        <v>1133</v>
      </c>
      <c r="C366" t="s">
        <v>1134</v>
      </c>
      <c r="D366" t="s">
        <v>1135</v>
      </c>
      <c r="E366" s="41">
        <v>45.48</v>
      </c>
      <c r="F366" s="75">
        <v>4.0000000000000002E-4</v>
      </c>
      <c r="G366" t="s">
        <v>123</v>
      </c>
      <c r="H366" t="s">
        <v>123</v>
      </c>
      <c r="I366" s="41" t="s">
        <v>32</v>
      </c>
      <c r="J366" s="1"/>
    </row>
    <row r="367" spans="1:10">
      <c r="A367">
        <v>366</v>
      </c>
      <c r="B367" t="s">
        <v>1136</v>
      </c>
      <c r="C367" t="s">
        <v>1137</v>
      </c>
      <c r="D367" t="s">
        <v>1138</v>
      </c>
      <c r="E367" s="41">
        <v>88.61</v>
      </c>
      <c r="F367" s="75">
        <v>4.0000000000000002E-4</v>
      </c>
      <c r="G367" t="s">
        <v>123</v>
      </c>
      <c r="H367" t="s">
        <v>123</v>
      </c>
      <c r="I367" s="41" t="s">
        <v>32</v>
      </c>
      <c r="J367" s="1"/>
    </row>
    <row r="368" spans="1:10">
      <c r="A368">
        <v>367</v>
      </c>
      <c r="B368" t="s">
        <v>1139</v>
      </c>
      <c r="C368" t="s">
        <v>1140</v>
      </c>
      <c r="D368" t="s">
        <v>1141</v>
      </c>
      <c r="E368" s="41">
        <v>48.53</v>
      </c>
      <c r="F368" s="75">
        <v>4.0000000000000002E-4</v>
      </c>
      <c r="G368" t="s">
        <v>123</v>
      </c>
      <c r="H368" t="s">
        <v>123</v>
      </c>
      <c r="I368" s="41" t="s">
        <v>32</v>
      </c>
      <c r="J368" s="1"/>
    </row>
    <row r="369" spans="1:10">
      <c r="A369">
        <v>368</v>
      </c>
      <c r="B369" t="s">
        <v>1142</v>
      </c>
      <c r="C369" t="s">
        <v>1143</v>
      </c>
      <c r="D369" t="s">
        <v>1144</v>
      </c>
      <c r="E369" s="41">
        <v>81.94</v>
      </c>
      <c r="F369" s="75">
        <v>4.0000000000000002E-4</v>
      </c>
      <c r="G369" t="s">
        <v>123</v>
      </c>
      <c r="H369" t="s">
        <v>123</v>
      </c>
      <c r="I369" s="41" t="s">
        <v>32</v>
      </c>
      <c r="J369" s="1"/>
    </row>
    <row r="370" spans="1:10">
      <c r="A370">
        <v>369</v>
      </c>
      <c r="B370" t="s">
        <v>1145</v>
      </c>
      <c r="C370" t="s">
        <v>1146</v>
      </c>
      <c r="D370" t="s">
        <v>1147</v>
      </c>
      <c r="E370" s="41">
        <v>72.27</v>
      </c>
      <c r="F370" s="75">
        <v>4.0000000000000002E-4</v>
      </c>
      <c r="G370" t="s">
        <v>123</v>
      </c>
      <c r="H370" t="s">
        <v>123</v>
      </c>
      <c r="I370" s="41" t="s">
        <v>32</v>
      </c>
      <c r="J370" s="1"/>
    </row>
    <row r="371" spans="1:10">
      <c r="A371">
        <v>370</v>
      </c>
      <c r="B371" t="s">
        <v>1148</v>
      </c>
      <c r="C371" t="s">
        <v>1149</v>
      </c>
      <c r="D371" t="s">
        <v>1150</v>
      </c>
      <c r="E371" s="41">
        <v>62.4</v>
      </c>
      <c r="F371" s="75">
        <v>4.0000000000000002E-4</v>
      </c>
      <c r="G371" t="s">
        <v>89</v>
      </c>
      <c r="H371" t="s">
        <v>89</v>
      </c>
      <c r="I371" s="41" t="s">
        <v>32</v>
      </c>
      <c r="J371" s="1"/>
    </row>
    <row r="372" spans="1:10">
      <c r="A372">
        <v>371</v>
      </c>
      <c r="B372" t="s">
        <v>1151</v>
      </c>
      <c r="C372" t="s">
        <v>1152</v>
      </c>
      <c r="D372" t="s">
        <v>1153</v>
      </c>
      <c r="E372" s="41">
        <v>81.58</v>
      </c>
      <c r="F372" s="75">
        <v>4.0000000000000002E-4</v>
      </c>
      <c r="G372" t="s">
        <v>89</v>
      </c>
      <c r="H372" t="s">
        <v>89</v>
      </c>
      <c r="I372" s="41" t="s">
        <v>32</v>
      </c>
      <c r="J372" s="1"/>
    </row>
    <row r="373" spans="1:10">
      <c r="A373">
        <v>372</v>
      </c>
      <c r="B373" t="s">
        <v>1154</v>
      </c>
      <c r="C373" t="s">
        <v>1155</v>
      </c>
      <c r="D373" t="s">
        <v>1156</v>
      </c>
      <c r="E373" s="41">
        <v>55.78</v>
      </c>
      <c r="F373" s="75">
        <v>4.0000000000000002E-4</v>
      </c>
      <c r="G373" t="s">
        <v>89</v>
      </c>
      <c r="H373" t="s">
        <v>89</v>
      </c>
      <c r="I373" s="41" t="s">
        <v>32</v>
      </c>
      <c r="J373" s="1"/>
    </row>
    <row r="374" spans="1:10">
      <c r="A374">
        <v>373</v>
      </c>
      <c r="B374" t="s">
        <v>1157</v>
      </c>
      <c r="C374" t="s">
        <v>1158</v>
      </c>
      <c r="D374" t="s">
        <v>1159</v>
      </c>
      <c r="E374" s="41">
        <v>60.31</v>
      </c>
      <c r="F374" s="75">
        <v>4.0000000000000002E-4</v>
      </c>
      <c r="G374" t="s">
        <v>89</v>
      </c>
      <c r="H374" t="s">
        <v>89</v>
      </c>
      <c r="I374" s="41" t="s">
        <v>32</v>
      </c>
      <c r="J374" s="1"/>
    </row>
    <row r="375" spans="1:10">
      <c r="A375">
        <v>374</v>
      </c>
      <c r="B375" t="s">
        <v>1160</v>
      </c>
      <c r="C375" t="s">
        <v>1161</v>
      </c>
      <c r="D375" t="s">
        <v>1162</v>
      </c>
      <c r="E375" s="41">
        <v>79.290000000000006</v>
      </c>
      <c r="F375" s="75">
        <v>4.0000000000000002E-4</v>
      </c>
      <c r="G375" t="s">
        <v>89</v>
      </c>
      <c r="H375" t="s">
        <v>89</v>
      </c>
      <c r="I375" s="41" t="s">
        <v>32</v>
      </c>
      <c r="J375" s="1"/>
    </row>
    <row r="376" spans="1:10">
      <c r="A376">
        <v>375</v>
      </c>
      <c r="B376" t="s">
        <v>1163</v>
      </c>
      <c r="C376" t="s">
        <v>1164</v>
      </c>
      <c r="D376" t="s">
        <v>1165</v>
      </c>
      <c r="E376" s="41">
        <v>41.49</v>
      </c>
      <c r="F376" s="75">
        <v>4.0000000000000002E-4</v>
      </c>
      <c r="G376" t="s">
        <v>89</v>
      </c>
      <c r="H376" t="s">
        <v>89</v>
      </c>
      <c r="I376" s="41" t="s">
        <v>32</v>
      </c>
      <c r="J376" s="1"/>
    </row>
    <row r="377" spans="1:10">
      <c r="A377">
        <v>376</v>
      </c>
      <c r="B377" t="s">
        <v>1166</v>
      </c>
      <c r="C377" t="s">
        <v>1167</v>
      </c>
      <c r="D377" t="s">
        <v>1168</v>
      </c>
      <c r="E377" s="41">
        <v>77.88</v>
      </c>
      <c r="F377" s="75">
        <v>4.0000000000000002E-4</v>
      </c>
      <c r="G377" t="s">
        <v>89</v>
      </c>
      <c r="H377" t="s">
        <v>89</v>
      </c>
      <c r="I377" s="41" t="s">
        <v>32</v>
      </c>
      <c r="J377" s="1"/>
    </row>
    <row r="378" spans="1:10">
      <c r="A378">
        <v>377</v>
      </c>
      <c r="B378" t="s">
        <v>1169</v>
      </c>
      <c r="C378" t="s">
        <v>1170</v>
      </c>
      <c r="D378" t="s">
        <v>1171</v>
      </c>
      <c r="E378" s="41">
        <v>59.37</v>
      </c>
      <c r="F378" s="75">
        <v>4.0000000000000002E-4</v>
      </c>
      <c r="G378" t="s">
        <v>89</v>
      </c>
      <c r="H378" t="s">
        <v>89</v>
      </c>
      <c r="I378" s="41" t="s">
        <v>32</v>
      </c>
      <c r="J378" s="1"/>
    </row>
    <row r="379" spans="1:10">
      <c r="A379">
        <v>378</v>
      </c>
      <c r="B379" t="s">
        <v>1172</v>
      </c>
      <c r="C379" t="s">
        <v>1173</v>
      </c>
      <c r="D379" t="s">
        <v>1174</v>
      </c>
      <c r="E379" s="41">
        <v>78.599999999999994</v>
      </c>
      <c r="F379" s="75">
        <v>4.0000000000000002E-4</v>
      </c>
      <c r="G379" t="s">
        <v>89</v>
      </c>
      <c r="H379" t="s">
        <v>89</v>
      </c>
      <c r="I379" s="41" t="s">
        <v>32</v>
      </c>
      <c r="J379" s="1"/>
    </row>
    <row r="380" spans="1:10">
      <c r="A380">
        <v>379</v>
      </c>
      <c r="B380" t="s">
        <v>1175</v>
      </c>
      <c r="C380" t="s">
        <v>1176</v>
      </c>
      <c r="D380" t="s">
        <v>1177</v>
      </c>
      <c r="E380" s="41">
        <v>80.97</v>
      </c>
      <c r="F380" s="75">
        <v>4.0000000000000002E-4</v>
      </c>
      <c r="G380" t="s">
        <v>48</v>
      </c>
      <c r="H380" t="s">
        <v>63</v>
      </c>
      <c r="I380" s="41" t="s">
        <v>32</v>
      </c>
      <c r="J380" s="1"/>
    </row>
    <row r="381" spans="1:10">
      <c r="A381">
        <v>380</v>
      </c>
      <c r="B381" t="s">
        <v>1178</v>
      </c>
      <c r="C381" t="s">
        <v>1179</v>
      </c>
      <c r="D381" t="s">
        <v>1180</v>
      </c>
      <c r="E381" s="41">
        <v>80.010000000000005</v>
      </c>
      <c r="F381" s="75">
        <v>4.0000000000000002E-4</v>
      </c>
      <c r="G381" t="s">
        <v>48</v>
      </c>
      <c r="H381" t="s">
        <v>71</v>
      </c>
      <c r="I381" s="41" t="s">
        <v>32</v>
      </c>
      <c r="J381" s="1"/>
    </row>
    <row r="382" spans="1:10">
      <c r="A382">
        <v>381</v>
      </c>
      <c r="B382" t="s">
        <v>1181</v>
      </c>
      <c r="C382" t="s">
        <v>1182</v>
      </c>
      <c r="D382" t="s">
        <v>1183</v>
      </c>
      <c r="E382" s="41">
        <v>73.760000000000005</v>
      </c>
      <c r="F382" s="75">
        <v>4.0000000000000002E-4</v>
      </c>
      <c r="G382" t="s">
        <v>48</v>
      </c>
      <c r="H382" t="s">
        <v>71</v>
      </c>
      <c r="I382" s="41" t="s">
        <v>32</v>
      </c>
      <c r="J382" s="1"/>
    </row>
    <row r="383" spans="1:10">
      <c r="A383">
        <v>382</v>
      </c>
      <c r="B383" t="s">
        <v>1184</v>
      </c>
      <c r="C383" t="s">
        <v>1185</v>
      </c>
      <c r="D383" t="s">
        <v>1186</v>
      </c>
      <c r="E383" s="41">
        <v>80.59</v>
      </c>
      <c r="F383" s="75">
        <v>4.0000000000000002E-4</v>
      </c>
      <c r="G383" t="s">
        <v>48</v>
      </c>
      <c r="H383" t="s">
        <v>63</v>
      </c>
      <c r="I383" s="41" t="s">
        <v>32</v>
      </c>
      <c r="J383" s="1"/>
    </row>
    <row r="384" spans="1:10">
      <c r="A384">
        <v>383</v>
      </c>
      <c r="B384" t="s">
        <v>1187</v>
      </c>
      <c r="C384" t="s">
        <v>1188</v>
      </c>
      <c r="D384" t="s">
        <v>1189</v>
      </c>
      <c r="E384" s="41">
        <v>60.78</v>
      </c>
      <c r="F384" s="75">
        <v>4.0000000000000002E-4</v>
      </c>
      <c r="G384" t="s">
        <v>48</v>
      </c>
      <c r="H384" t="s">
        <v>71</v>
      </c>
      <c r="I384" s="41" t="s">
        <v>32</v>
      </c>
      <c r="J384" s="1"/>
    </row>
    <row r="385" spans="1:10">
      <c r="A385">
        <v>384</v>
      </c>
      <c r="B385" t="s">
        <v>1190</v>
      </c>
      <c r="C385" t="s">
        <v>1191</v>
      </c>
      <c r="D385" t="s">
        <v>1192</v>
      </c>
      <c r="E385" s="41">
        <v>82.84</v>
      </c>
      <c r="F385" s="75">
        <v>4.0000000000000002E-4</v>
      </c>
      <c r="G385" t="s">
        <v>48</v>
      </c>
      <c r="H385" t="s">
        <v>63</v>
      </c>
      <c r="I385" s="41" t="s">
        <v>32</v>
      </c>
      <c r="J385" s="1"/>
    </row>
    <row r="386" spans="1:10">
      <c r="A386">
        <v>385</v>
      </c>
      <c r="B386" t="s">
        <v>1193</v>
      </c>
      <c r="C386" t="s">
        <v>1194</v>
      </c>
      <c r="D386" t="s">
        <v>1195</v>
      </c>
      <c r="E386" s="41">
        <v>46.27</v>
      </c>
      <c r="F386" s="75">
        <v>4.0000000000000002E-4</v>
      </c>
      <c r="G386" t="s">
        <v>48</v>
      </c>
      <c r="H386" t="s">
        <v>71</v>
      </c>
      <c r="I386" s="41" t="s">
        <v>32</v>
      </c>
      <c r="J386" s="1"/>
    </row>
    <row r="387" spans="1:10">
      <c r="A387">
        <v>386</v>
      </c>
      <c r="B387" t="s">
        <v>1196</v>
      </c>
      <c r="C387" t="s">
        <v>1197</v>
      </c>
      <c r="D387" t="s">
        <v>1198</v>
      </c>
      <c r="E387" s="41">
        <v>76.260000000000005</v>
      </c>
      <c r="F387" s="75">
        <v>4.0000000000000002E-4</v>
      </c>
      <c r="G387" t="s">
        <v>48</v>
      </c>
      <c r="H387" t="s">
        <v>71</v>
      </c>
      <c r="I387" s="41" t="s">
        <v>32</v>
      </c>
      <c r="J387" s="1"/>
    </row>
    <row r="388" spans="1:10">
      <c r="A388">
        <v>387</v>
      </c>
      <c r="B388" t="s">
        <v>1199</v>
      </c>
      <c r="C388" t="s">
        <v>1200</v>
      </c>
      <c r="D388" t="s">
        <v>1201</v>
      </c>
      <c r="E388" s="41">
        <v>40.619999999999997</v>
      </c>
      <c r="F388" s="75">
        <v>4.0000000000000002E-4</v>
      </c>
      <c r="G388" t="s">
        <v>48</v>
      </c>
      <c r="H388" t="s">
        <v>63</v>
      </c>
      <c r="I388" s="41" t="s">
        <v>32</v>
      </c>
      <c r="J388" s="1"/>
    </row>
    <row r="389" spans="1:10">
      <c r="A389">
        <v>388</v>
      </c>
      <c r="B389" t="s">
        <v>1202</v>
      </c>
      <c r="C389" t="s">
        <v>1203</v>
      </c>
      <c r="D389" t="s">
        <v>1204</v>
      </c>
      <c r="E389" s="41">
        <v>59.55</v>
      </c>
      <c r="F389" s="75">
        <v>4.0000000000000002E-4</v>
      </c>
      <c r="G389" t="s">
        <v>48</v>
      </c>
      <c r="H389" t="s">
        <v>71</v>
      </c>
      <c r="I389" s="41" t="s">
        <v>32</v>
      </c>
      <c r="J389" s="1"/>
    </row>
    <row r="390" spans="1:10">
      <c r="A390">
        <v>389</v>
      </c>
      <c r="B390" t="s">
        <v>1205</v>
      </c>
      <c r="C390" t="s">
        <v>1206</v>
      </c>
      <c r="D390" t="s">
        <v>1207</v>
      </c>
      <c r="E390" s="41">
        <v>51.71</v>
      </c>
      <c r="F390" s="75">
        <v>4.0000000000000002E-4</v>
      </c>
      <c r="G390" t="s">
        <v>48</v>
      </c>
      <c r="H390" t="s">
        <v>71</v>
      </c>
      <c r="I390" s="41" t="s">
        <v>32</v>
      </c>
      <c r="J390" s="1"/>
    </row>
    <row r="391" spans="1:10">
      <c r="A391">
        <v>390</v>
      </c>
      <c r="B391" t="s">
        <v>1208</v>
      </c>
      <c r="C391" t="s">
        <v>1209</v>
      </c>
      <c r="D391" t="s">
        <v>1210</v>
      </c>
      <c r="E391" s="41">
        <v>56.55</v>
      </c>
      <c r="F391" s="75">
        <v>4.0000000000000002E-4</v>
      </c>
      <c r="G391" t="s">
        <v>48</v>
      </c>
      <c r="H391" t="s">
        <v>63</v>
      </c>
      <c r="I391" s="41" t="s">
        <v>32</v>
      </c>
      <c r="J391" s="1"/>
    </row>
    <row r="392" spans="1:10">
      <c r="A392">
        <v>391</v>
      </c>
      <c r="B392" t="s">
        <v>1211</v>
      </c>
      <c r="C392" t="s">
        <v>1212</v>
      </c>
      <c r="D392" t="s">
        <v>1213</v>
      </c>
      <c r="E392" s="41">
        <v>67.849999999999994</v>
      </c>
      <c r="F392" s="75">
        <v>4.0000000000000002E-4</v>
      </c>
      <c r="G392" t="s">
        <v>59</v>
      </c>
      <c r="H392" t="s">
        <v>59</v>
      </c>
      <c r="I392" s="41" t="s">
        <v>32</v>
      </c>
      <c r="J392" s="1"/>
    </row>
    <row r="393" spans="1:10">
      <c r="A393">
        <v>392</v>
      </c>
      <c r="B393" t="s">
        <v>1214</v>
      </c>
      <c r="C393" t="s">
        <v>1215</v>
      </c>
      <c r="D393" t="s">
        <v>1216</v>
      </c>
      <c r="E393" s="41">
        <v>51.38</v>
      </c>
      <c r="F393" s="75">
        <v>4.0000000000000002E-4</v>
      </c>
      <c r="G393" t="s">
        <v>59</v>
      </c>
      <c r="H393" t="s">
        <v>59</v>
      </c>
      <c r="I393" s="41" t="s">
        <v>32</v>
      </c>
      <c r="J393" s="1"/>
    </row>
    <row r="394" spans="1:10">
      <c r="A394">
        <v>393</v>
      </c>
      <c r="B394" t="s">
        <v>1217</v>
      </c>
      <c r="C394" t="s">
        <v>1218</v>
      </c>
      <c r="D394" t="s">
        <v>1219</v>
      </c>
      <c r="E394" s="41">
        <v>68.61</v>
      </c>
      <c r="F394" s="75">
        <v>4.0000000000000002E-4</v>
      </c>
      <c r="G394" t="s">
        <v>59</v>
      </c>
      <c r="H394" t="s">
        <v>59</v>
      </c>
      <c r="I394" s="41" t="s">
        <v>32</v>
      </c>
      <c r="J394" s="1"/>
    </row>
    <row r="395" spans="1:10">
      <c r="A395">
        <v>394</v>
      </c>
      <c r="B395" t="s">
        <v>1220</v>
      </c>
      <c r="C395" t="s">
        <v>1221</v>
      </c>
      <c r="D395" t="s">
        <v>1222</v>
      </c>
      <c r="E395" s="41">
        <v>73.06</v>
      </c>
      <c r="F395" s="75">
        <v>4.0000000000000002E-4</v>
      </c>
      <c r="G395" t="s">
        <v>34</v>
      </c>
      <c r="H395" t="s">
        <v>43</v>
      </c>
      <c r="I395" s="41" t="s">
        <v>32</v>
      </c>
      <c r="J395" s="1"/>
    </row>
    <row r="396" spans="1:10">
      <c r="A396">
        <v>395</v>
      </c>
      <c r="B396" t="s">
        <v>1223</v>
      </c>
      <c r="C396" t="s">
        <v>1224</v>
      </c>
      <c r="D396" t="s">
        <v>1225</v>
      </c>
      <c r="E396" s="41">
        <v>28.03</v>
      </c>
      <c r="F396" s="75">
        <v>4.0000000000000002E-4</v>
      </c>
      <c r="G396" t="s">
        <v>34</v>
      </c>
      <c r="H396" t="s">
        <v>54</v>
      </c>
      <c r="I396" s="41" t="s">
        <v>32</v>
      </c>
      <c r="J396" s="1"/>
    </row>
    <row r="397" spans="1:10">
      <c r="A397">
        <v>396</v>
      </c>
      <c r="B397" t="s">
        <v>1226</v>
      </c>
      <c r="C397" t="s">
        <v>1227</v>
      </c>
      <c r="D397" t="s">
        <v>1228</v>
      </c>
      <c r="E397" s="41">
        <v>64</v>
      </c>
      <c r="F397" s="75">
        <v>1.6999999999999999E-3</v>
      </c>
      <c r="G397" t="s">
        <v>34</v>
      </c>
      <c r="H397" t="s">
        <v>33</v>
      </c>
      <c r="I397" s="41" t="s">
        <v>32</v>
      </c>
      <c r="J397" s="1"/>
    </row>
    <row r="398" spans="1:10">
      <c r="A398">
        <v>397</v>
      </c>
      <c r="B398" t="s">
        <v>1229</v>
      </c>
      <c r="C398" t="s">
        <v>1230</v>
      </c>
      <c r="D398" t="s">
        <v>1231</v>
      </c>
      <c r="E398" s="41">
        <v>65.959999999999994</v>
      </c>
      <c r="F398" s="75">
        <v>4.0000000000000002E-4</v>
      </c>
      <c r="G398" t="s">
        <v>34</v>
      </c>
      <c r="H398" t="s">
        <v>43</v>
      </c>
      <c r="I398" s="41" t="s">
        <v>32</v>
      </c>
      <c r="J398" s="1"/>
    </row>
    <row r="399" spans="1:10">
      <c r="A399">
        <v>398</v>
      </c>
      <c r="B399" t="s">
        <v>1232</v>
      </c>
      <c r="C399" t="s">
        <v>1233</v>
      </c>
      <c r="D399" t="s">
        <v>1234</v>
      </c>
      <c r="E399" s="41">
        <v>63.45</v>
      </c>
      <c r="F399" s="75">
        <v>8.9999999999999998E-4</v>
      </c>
      <c r="G399" t="s">
        <v>34</v>
      </c>
      <c r="H399" t="s">
        <v>33</v>
      </c>
      <c r="I399" s="41" t="s">
        <v>32</v>
      </c>
      <c r="J399" s="1"/>
    </row>
    <row r="400" spans="1:10">
      <c r="A400">
        <v>399</v>
      </c>
      <c r="B400" t="s">
        <v>1235</v>
      </c>
      <c r="C400" t="s">
        <v>1236</v>
      </c>
      <c r="D400" t="s">
        <v>1237</v>
      </c>
      <c r="E400" s="41">
        <v>37.68</v>
      </c>
      <c r="F400" s="75">
        <v>4.0000000000000002E-4</v>
      </c>
      <c r="G400" t="s">
        <v>34</v>
      </c>
      <c r="H400" t="s">
        <v>54</v>
      </c>
      <c r="I400" s="41" t="s">
        <v>32</v>
      </c>
      <c r="J400" s="1"/>
    </row>
    <row r="401" spans="1:10">
      <c r="A401">
        <v>400</v>
      </c>
      <c r="B401" t="s">
        <v>1238</v>
      </c>
      <c r="C401" t="s">
        <v>1239</v>
      </c>
      <c r="D401" t="s">
        <v>1240</v>
      </c>
      <c r="E401" s="41">
        <v>52.6</v>
      </c>
      <c r="F401" s="75">
        <v>4.0000000000000002E-4</v>
      </c>
      <c r="G401" t="s">
        <v>34</v>
      </c>
      <c r="H401" t="s">
        <v>54</v>
      </c>
      <c r="I401" s="41" t="s">
        <v>32</v>
      </c>
      <c r="J401" s="1"/>
    </row>
    <row r="402" spans="1:10">
      <c r="A402">
        <v>401</v>
      </c>
      <c r="B402" t="s">
        <v>1241</v>
      </c>
      <c r="C402" t="s">
        <v>1242</v>
      </c>
      <c r="D402" t="s">
        <v>1243</v>
      </c>
      <c r="E402" s="41">
        <v>59.06</v>
      </c>
      <c r="F402" s="75">
        <v>4.0000000000000002E-4</v>
      </c>
      <c r="G402" t="s">
        <v>34</v>
      </c>
      <c r="H402" t="s">
        <v>43</v>
      </c>
      <c r="I402" s="41" t="s">
        <v>32</v>
      </c>
      <c r="J402" s="1"/>
    </row>
    <row r="403" spans="1:10">
      <c r="A403">
        <v>402</v>
      </c>
      <c r="B403" t="s">
        <v>1244</v>
      </c>
      <c r="C403" t="s">
        <v>1245</v>
      </c>
      <c r="D403" t="s">
        <v>1246</v>
      </c>
      <c r="E403" s="41">
        <v>67.489999999999995</v>
      </c>
      <c r="F403" s="75">
        <v>4.0000000000000002E-4</v>
      </c>
      <c r="G403" t="s">
        <v>34</v>
      </c>
      <c r="H403" t="s">
        <v>43</v>
      </c>
      <c r="I403" s="41" t="s">
        <v>32</v>
      </c>
      <c r="J403" s="1"/>
    </row>
    <row r="404" spans="1:10">
      <c r="A404">
        <v>403</v>
      </c>
      <c r="B404" t="s">
        <v>1247</v>
      </c>
      <c r="C404" t="s">
        <v>1248</v>
      </c>
      <c r="D404" t="s">
        <v>1249</v>
      </c>
      <c r="E404" s="41">
        <v>51.76</v>
      </c>
      <c r="F404" s="75">
        <v>4.0000000000000002E-4</v>
      </c>
      <c r="G404" t="s">
        <v>34</v>
      </c>
      <c r="H404" t="s">
        <v>43</v>
      </c>
      <c r="I404" s="41" t="s">
        <v>32</v>
      </c>
      <c r="J404" s="1"/>
    </row>
    <row r="405" spans="1:10">
      <c r="A405">
        <v>404</v>
      </c>
      <c r="B405" t="s">
        <v>1250</v>
      </c>
      <c r="C405" t="s">
        <v>1251</v>
      </c>
      <c r="F405" s="75">
        <v>4.0000000000000002E-4</v>
      </c>
      <c r="G405" t="s">
        <v>34</v>
      </c>
      <c r="H405" t="s">
        <v>54</v>
      </c>
      <c r="I405" s="41" t="s">
        <v>764</v>
      </c>
      <c r="J405" s="1"/>
    </row>
    <row r="406" spans="1:10">
      <c r="A406">
        <v>405</v>
      </c>
      <c r="B406" t="s">
        <v>1252</v>
      </c>
      <c r="C406" t="s">
        <v>1253</v>
      </c>
      <c r="D406" t="s">
        <v>1254</v>
      </c>
      <c r="E406" s="41">
        <v>62</v>
      </c>
      <c r="F406" s="75">
        <v>1.6000000000000001E-3</v>
      </c>
      <c r="G406" t="s">
        <v>34</v>
      </c>
      <c r="H406" t="s">
        <v>33</v>
      </c>
      <c r="I406" s="41" t="s">
        <v>32</v>
      </c>
      <c r="J406" s="1"/>
    </row>
    <row r="407" spans="1:10">
      <c r="A407">
        <v>406</v>
      </c>
      <c r="B407" t="s">
        <v>1255</v>
      </c>
      <c r="C407" t="s">
        <v>1256</v>
      </c>
      <c r="D407" t="s">
        <v>1257</v>
      </c>
      <c r="E407" s="41">
        <v>59.93</v>
      </c>
      <c r="F407" s="75">
        <v>4.0000000000000002E-4</v>
      </c>
      <c r="G407" t="s">
        <v>34</v>
      </c>
      <c r="H407" t="s">
        <v>54</v>
      </c>
      <c r="I407" s="41" t="s">
        <v>32</v>
      </c>
      <c r="J407" s="1"/>
    </row>
    <row r="408" spans="1:10">
      <c r="A408">
        <v>407</v>
      </c>
      <c r="B408" t="s">
        <v>1258</v>
      </c>
      <c r="C408" t="s">
        <v>1259</v>
      </c>
      <c r="D408" t="s">
        <v>1260</v>
      </c>
      <c r="E408" s="41">
        <v>57.02</v>
      </c>
      <c r="F408" s="75">
        <v>4.0000000000000002E-4</v>
      </c>
      <c r="G408" t="s">
        <v>34</v>
      </c>
      <c r="H408" t="s">
        <v>54</v>
      </c>
      <c r="I408" s="41" t="s">
        <v>32</v>
      </c>
      <c r="J408" s="1"/>
    </row>
    <row r="409" spans="1:10">
      <c r="A409">
        <v>408</v>
      </c>
      <c r="B409" t="s">
        <v>1261</v>
      </c>
      <c r="C409" t="s">
        <v>1262</v>
      </c>
      <c r="D409" t="s">
        <v>1263</v>
      </c>
      <c r="E409" s="41">
        <v>60.89</v>
      </c>
      <c r="F409" s="75">
        <v>4.0000000000000002E-4</v>
      </c>
      <c r="G409" t="s">
        <v>98</v>
      </c>
      <c r="H409" t="s">
        <v>101</v>
      </c>
      <c r="I409" s="41" t="s">
        <v>102</v>
      </c>
      <c r="J409" s="1"/>
    </row>
    <row r="410" spans="1:10">
      <c r="A410">
        <v>409</v>
      </c>
      <c r="B410" t="s">
        <v>1264</v>
      </c>
      <c r="C410" t="s">
        <v>1265</v>
      </c>
      <c r="D410" t="s">
        <v>1266</v>
      </c>
      <c r="E410" s="41">
        <v>64.08</v>
      </c>
      <c r="F410" s="75">
        <v>4.0000000000000002E-4</v>
      </c>
      <c r="G410" t="s">
        <v>52</v>
      </c>
      <c r="H410" t="s">
        <v>53</v>
      </c>
      <c r="I410" s="41" t="s">
        <v>32</v>
      </c>
      <c r="J410" s="1"/>
    </row>
    <row r="411" spans="1:10">
      <c r="A411">
        <v>410</v>
      </c>
      <c r="B411" t="s">
        <v>1267</v>
      </c>
      <c r="C411" t="s">
        <v>1268</v>
      </c>
      <c r="D411" t="s">
        <v>1269</v>
      </c>
      <c r="E411" s="41">
        <v>70.05</v>
      </c>
      <c r="F411" s="75">
        <v>4.0000000000000002E-4</v>
      </c>
      <c r="G411" t="s">
        <v>75</v>
      </c>
      <c r="H411" t="s">
        <v>103</v>
      </c>
      <c r="I411" s="41" t="s">
        <v>32</v>
      </c>
      <c r="J411" s="1"/>
    </row>
    <row r="412" spans="1:10">
      <c r="A412">
        <v>411</v>
      </c>
      <c r="B412" t="s">
        <v>1270</v>
      </c>
      <c r="C412" t="s">
        <v>1271</v>
      </c>
      <c r="D412" t="s">
        <v>1272</v>
      </c>
      <c r="E412" s="41">
        <v>62.93</v>
      </c>
      <c r="F412" s="75">
        <v>4.0000000000000002E-4</v>
      </c>
      <c r="G412" t="s">
        <v>75</v>
      </c>
      <c r="H412" t="s">
        <v>103</v>
      </c>
      <c r="I412" s="41" t="s">
        <v>32</v>
      </c>
      <c r="J412" s="1"/>
    </row>
    <row r="413" spans="1:10">
      <c r="A413">
        <v>412</v>
      </c>
      <c r="B413" t="s">
        <v>1273</v>
      </c>
      <c r="C413" t="s">
        <v>1274</v>
      </c>
      <c r="D413" t="s">
        <v>1275</v>
      </c>
      <c r="E413" s="41">
        <v>62.25</v>
      </c>
      <c r="F413" s="75">
        <v>4.0000000000000002E-4</v>
      </c>
      <c r="G413" t="s">
        <v>75</v>
      </c>
      <c r="H413" t="s">
        <v>111</v>
      </c>
      <c r="I413" s="41" t="s">
        <v>32</v>
      </c>
      <c r="J413" s="1"/>
    </row>
    <row r="414" spans="1:10">
      <c r="A414">
        <v>413</v>
      </c>
      <c r="B414" t="s">
        <v>1276</v>
      </c>
      <c r="C414" t="s">
        <v>1277</v>
      </c>
      <c r="D414" t="s">
        <v>1278</v>
      </c>
      <c r="E414" s="41">
        <v>77.34</v>
      </c>
      <c r="F414" s="75">
        <v>4.0000000000000002E-4</v>
      </c>
      <c r="G414" t="s">
        <v>75</v>
      </c>
      <c r="H414" t="s">
        <v>119</v>
      </c>
      <c r="I414" s="41" t="s">
        <v>32</v>
      </c>
      <c r="J414" s="1"/>
    </row>
    <row r="415" spans="1:10">
      <c r="A415">
        <v>414</v>
      </c>
      <c r="B415" t="s">
        <v>1279</v>
      </c>
      <c r="C415" t="s">
        <v>1280</v>
      </c>
      <c r="D415" t="s">
        <v>1281</v>
      </c>
      <c r="E415" s="41">
        <v>57.55</v>
      </c>
      <c r="F415" s="75">
        <v>4.0000000000000002E-4</v>
      </c>
      <c r="G415" t="s">
        <v>75</v>
      </c>
      <c r="H415" t="s">
        <v>111</v>
      </c>
      <c r="I415" s="41" t="s">
        <v>32</v>
      </c>
      <c r="J415" s="1"/>
    </row>
    <row r="416" spans="1:10">
      <c r="A416">
        <v>415</v>
      </c>
      <c r="B416" t="s">
        <v>1282</v>
      </c>
      <c r="C416" t="s">
        <v>1283</v>
      </c>
      <c r="D416" t="s">
        <v>1284</v>
      </c>
      <c r="E416" s="41">
        <v>62.59</v>
      </c>
      <c r="F416" s="75">
        <v>4.0000000000000002E-4</v>
      </c>
      <c r="G416" t="s">
        <v>75</v>
      </c>
      <c r="H416" t="s">
        <v>111</v>
      </c>
      <c r="I416" s="41" t="s">
        <v>32</v>
      </c>
      <c r="J416" s="1"/>
    </row>
    <row r="417" spans="1:10">
      <c r="A417">
        <v>416</v>
      </c>
      <c r="B417" t="s">
        <v>1285</v>
      </c>
      <c r="C417" t="s">
        <v>1286</v>
      </c>
      <c r="D417" t="s">
        <v>1287</v>
      </c>
      <c r="E417" s="41">
        <v>72.37</v>
      </c>
      <c r="F417" s="75">
        <v>4.0000000000000002E-4</v>
      </c>
      <c r="G417" t="s">
        <v>115</v>
      </c>
      <c r="H417" t="s">
        <v>147</v>
      </c>
      <c r="I417" s="41" t="s">
        <v>32</v>
      </c>
      <c r="J417" s="1"/>
    </row>
    <row r="418" spans="1:10">
      <c r="A418">
        <v>417</v>
      </c>
      <c r="B418" t="s">
        <v>1288</v>
      </c>
      <c r="C418" t="s">
        <v>1289</v>
      </c>
      <c r="D418" t="s">
        <v>1290</v>
      </c>
      <c r="E418" s="41">
        <v>51.03</v>
      </c>
      <c r="F418" s="75">
        <v>2.9999999999999997E-4</v>
      </c>
      <c r="G418" t="s">
        <v>115</v>
      </c>
      <c r="H418" t="s">
        <v>158</v>
      </c>
      <c r="I418" s="41" t="s">
        <v>32</v>
      </c>
      <c r="J418" s="1"/>
    </row>
    <row r="419" spans="1:10">
      <c r="A419">
        <v>418</v>
      </c>
      <c r="B419" t="s">
        <v>1291</v>
      </c>
      <c r="C419" t="s">
        <v>1292</v>
      </c>
      <c r="D419" t="s">
        <v>1293</v>
      </c>
      <c r="E419" s="41">
        <v>73.67</v>
      </c>
      <c r="F419" s="75">
        <v>2.9999999999999997E-4</v>
      </c>
      <c r="G419" t="s">
        <v>115</v>
      </c>
      <c r="H419" t="s">
        <v>158</v>
      </c>
      <c r="I419" s="41" t="s">
        <v>32</v>
      </c>
      <c r="J419" s="1"/>
    </row>
    <row r="420" spans="1:10">
      <c r="A420">
        <v>419</v>
      </c>
      <c r="B420" t="s">
        <v>1294</v>
      </c>
      <c r="C420" t="s">
        <v>1295</v>
      </c>
      <c r="D420" t="s">
        <v>1296</v>
      </c>
      <c r="E420" s="41">
        <v>51.43</v>
      </c>
      <c r="F420" s="75">
        <v>2.9999999999999997E-4</v>
      </c>
      <c r="G420" t="s">
        <v>115</v>
      </c>
      <c r="H420" t="s">
        <v>158</v>
      </c>
      <c r="I420" s="41" t="s">
        <v>102</v>
      </c>
      <c r="J420" s="1"/>
    </row>
    <row r="421" spans="1:10">
      <c r="A421">
        <v>420</v>
      </c>
      <c r="B421" t="s">
        <v>1297</v>
      </c>
      <c r="C421" t="s">
        <v>1298</v>
      </c>
      <c r="F421" s="75">
        <v>2.9999999999999997E-4</v>
      </c>
      <c r="G421" t="s">
        <v>115</v>
      </c>
      <c r="H421" t="s">
        <v>147</v>
      </c>
      <c r="I421" s="41" t="s">
        <v>1126</v>
      </c>
      <c r="J421" s="1"/>
    </row>
    <row r="422" spans="1:10">
      <c r="A422">
        <v>421</v>
      </c>
      <c r="B422" t="s">
        <v>1299</v>
      </c>
      <c r="C422" t="s">
        <v>1300</v>
      </c>
      <c r="F422" s="75">
        <v>2.9999999999999997E-4</v>
      </c>
      <c r="G422" t="s">
        <v>107</v>
      </c>
      <c r="H422" t="s">
        <v>107</v>
      </c>
      <c r="I422" s="41" t="s">
        <v>102</v>
      </c>
      <c r="J422" s="1"/>
    </row>
    <row r="423" spans="1:10">
      <c r="A423">
        <v>422</v>
      </c>
      <c r="B423" t="s">
        <v>1301</v>
      </c>
      <c r="C423" t="s">
        <v>1302</v>
      </c>
      <c r="D423" s="26" t="s">
        <v>1303</v>
      </c>
      <c r="E423" s="73">
        <v>78.97</v>
      </c>
      <c r="F423" s="75">
        <v>2.9999999999999997E-4</v>
      </c>
      <c r="G423" t="s">
        <v>107</v>
      </c>
      <c r="H423" t="s">
        <v>107</v>
      </c>
      <c r="I423" s="41" t="s">
        <v>102</v>
      </c>
      <c r="J423" s="1"/>
    </row>
    <row r="424" spans="1:10">
      <c r="A424">
        <v>423</v>
      </c>
      <c r="B424" t="s">
        <v>1304</v>
      </c>
      <c r="C424" t="s">
        <v>1305</v>
      </c>
      <c r="D424" t="s">
        <v>1306</v>
      </c>
      <c r="E424" s="41">
        <v>80.75</v>
      </c>
      <c r="F424" s="75">
        <v>2.9999999999999997E-4</v>
      </c>
      <c r="G424" t="s">
        <v>107</v>
      </c>
      <c r="H424" t="s">
        <v>107</v>
      </c>
      <c r="I424" s="41" t="s">
        <v>102</v>
      </c>
      <c r="J424" s="1"/>
    </row>
    <row r="425" spans="1:10">
      <c r="A425">
        <v>424</v>
      </c>
      <c r="B425" t="s">
        <v>1307</v>
      </c>
      <c r="C425" t="s">
        <v>1308</v>
      </c>
      <c r="D425" s="26" t="s">
        <v>1309</v>
      </c>
      <c r="E425" s="73">
        <v>83.08</v>
      </c>
      <c r="F425" s="75">
        <v>2.9999999999999997E-4</v>
      </c>
      <c r="G425" t="s">
        <v>107</v>
      </c>
      <c r="H425" t="s">
        <v>107</v>
      </c>
      <c r="I425" s="41" t="s">
        <v>102</v>
      </c>
      <c r="J425" s="1"/>
    </row>
    <row r="426" spans="1:10">
      <c r="A426">
        <v>425</v>
      </c>
      <c r="B426" t="s">
        <v>1310</v>
      </c>
      <c r="C426" t="s">
        <v>1311</v>
      </c>
      <c r="D426" t="s">
        <v>1312</v>
      </c>
      <c r="E426" s="41">
        <v>45.39</v>
      </c>
      <c r="F426" s="75">
        <v>2.9999999999999997E-4</v>
      </c>
      <c r="G426" t="s">
        <v>107</v>
      </c>
      <c r="H426" t="s">
        <v>107</v>
      </c>
      <c r="I426" s="41" t="s">
        <v>32</v>
      </c>
      <c r="J426" s="1"/>
    </row>
    <row r="427" spans="1:10">
      <c r="A427">
        <v>426</v>
      </c>
      <c r="B427" t="s">
        <v>1313</v>
      </c>
      <c r="C427" t="s">
        <v>1314</v>
      </c>
      <c r="D427" t="s">
        <v>1315</v>
      </c>
      <c r="E427" s="41">
        <v>53.39</v>
      </c>
      <c r="F427" s="75">
        <v>2.9999999999999997E-4</v>
      </c>
      <c r="G427" t="s">
        <v>107</v>
      </c>
      <c r="H427" t="s">
        <v>107</v>
      </c>
      <c r="I427" s="41" t="s">
        <v>32</v>
      </c>
      <c r="J427" s="1"/>
    </row>
    <row r="428" spans="1:10">
      <c r="A428">
        <v>427</v>
      </c>
      <c r="B428" t="s">
        <v>1316</v>
      </c>
      <c r="C428" t="s">
        <v>1317</v>
      </c>
      <c r="D428" s="26" t="s">
        <v>1318</v>
      </c>
      <c r="E428" s="73">
        <v>70.290000000000006</v>
      </c>
      <c r="F428" s="75">
        <v>2.9999999999999997E-4</v>
      </c>
      <c r="G428" t="s">
        <v>107</v>
      </c>
      <c r="H428" t="s">
        <v>107</v>
      </c>
      <c r="I428" s="41" t="s">
        <v>32</v>
      </c>
      <c r="J428" s="1"/>
    </row>
    <row r="429" spans="1:10">
      <c r="A429">
        <v>428</v>
      </c>
      <c r="B429" t="s">
        <v>1319</v>
      </c>
      <c r="C429" t="s">
        <v>1320</v>
      </c>
      <c r="D429" t="s">
        <v>1321</v>
      </c>
      <c r="E429" s="41">
        <v>69.760000000000005</v>
      </c>
      <c r="F429" s="75">
        <v>2.9999999999999997E-4</v>
      </c>
      <c r="G429" t="s">
        <v>30</v>
      </c>
      <c r="H429" t="s">
        <v>31</v>
      </c>
      <c r="I429" s="41" t="s">
        <v>32</v>
      </c>
      <c r="J429" s="1"/>
    </row>
    <row r="430" spans="1:10">
      <c r="A430">
        <v>429</v>
      </c>
      <c r="B430" t="s">
        <v>1322</v>
      </c>
      <c r="C430" t="s">
        <v>1323</v>
      </c>
      <c r="D430" t="s">
        <v>1324</v>
      </c>
      <c r="E430" s="41">
        <v>64.569999999999993</v>
      </c>
      <c r="F430" s="75">
        <v>2.9999999999999997E-4</v>
      </c>
      <c r="G430" t="s">
        <v>30</v>
      </c>
      <c r="H430" t="s">
        <v>31</v>
      </c>
      <c r="I430" s="41" t="s">
        <v>32</v>
      </c>
      <c r="J430" s="1"/>
    </row>
    <row r="431" spans="1:10">
      <c r="A431">
        <v>430</v>
      </c>
      <c r="B431" t="s">
        <v>1325</v>
      </c>
      <c r="C431" t="s">
        <v>1326</v>
      </c>
      <c r="D431" t="s">
        <v>1327</v>
      </c>
      <c r="E431" s="41">
        <v>72.81</v>
      </c>
      <c r="F431" s="75">
        <v>2.9999999999999997E-4</v>
      </c>
      <c r="G431" t="s">
        <v>123</v>
      </c>
      <c r="H431" t="s">
        <v>123</v>
      </c>
      <c r="I431" s="41" t="s">
        <v>32</v>
      </c>
      <c r="J431" s="1"/>
    </row>
    <row r="432" spans="1:10">
      <c r="A432">
        <v>431</v>
      </c>
      <c r="B432" t="s">
        <v>1328</v>
      </c>
      <c r="C432" t="s">
        <v>1329</v>
      </c>
      <c r="D432" t="s">
        <v>1330</v>
      </c>
      <c r="E432" s="41">
        <v>60.63</v>
      </c>
      <c r="F432" s="75">
        <v>2.9999999999999997E-4</v>
      </c>
      <c r="G432" t="s">
        <v>123</v>
      </c>
      <c r="H432" t="s">
        <v>123</v>
      </c>
      <c r="I432" s="41" t="s">
        <v>32</v>
      </c>
      <c r="J432" s="1"/>
    </row>
    <row r="433" spans="1:10">
      <c r="A433">
        <v>432</v>
      </c>
      <c r="B433" t="s">
        <v>1331</v>
      </c>
      <c r="C433" t="s">
        <v>1332</v>
      </c>
      <c r="D433" t="s">
        <v>1333</v>
      </c>
      <c r="E433" s="41">
        <v>38.72</v>
      </c>
      <c r="F433" s="75">
        <v>2.9999999999999997E-4</v>
      </c>
      <c r="G433" t="s">
        <v>123</v>
      </c>
      <c r="H433" t="s">
        <v>123</v>
      </c>
      <c r="I433" s="41" t="s">
        <v>32</v>
      </c>
      <c r="J433" s="1"/>
    </row>
    <row r="434" spans="1:10">
      <c r="A434">
        <v>433</v>
      </c>
      <c r="B434" t="s">
        <v>1334</v>
      </c>
      <c r="C434" t="s">
        <v>1335</v>
      </c>
      <c r="D434" t="s">
        <v>1336</v>
      </c>
      <c r="E434" s="41">
        <v>70.38</v>
      </c>
      <c r="F434" s="75">
        <v>2.9999999999999997E-4</v>
      </c>
      <c r="G434" t="s">
        <v>123</v>
      </c>
      <c r="H434" t="s">
        <v>123</v>
      </c>
      <c r="I434" s="41" t="s">
        <v>32</v>
      </c>
      <c r="J434" s="1"/>
    </row>
    <row r="435" spans="1:10">
      <c r="A435">
        <v>434</v>
      </c>
      <c r="B435" t="s">
        <v>1337</v>
      </c>
      <c r="C435" t="s">
        <v>1338</v>
      </c>
      <c r="D435" t="s">
        <v>1339</v>
      </c>
      <c r="E435" s="41">
        <v>89.14</v>
      </c>
      <c r="F435" s="75">
        <v>2.9999999999999997E-4</v>
      </c>
      <c r="G435" t="s">
        <v>123</v>
      </c>
      <c r="H435" t="s">
        <v>123</v>
      </c>
      <c r="I435" s="41" t="s">
        <v>32</v>
      </c>
      <c r="J435" s="1"/>
    </row>
    <row r="436" spans="1:10">
      <c r="A436">
        <v>435</v>
      </c>
      <c r="B436" t="s">
        <v>1340</v>
      </c>
      <c r="C436" t="s">
        <v>1341</v>
      </c>
      <c r="D436" t="s">
        <v>1342</v>
      </c>
      <c r="E436" s="41">
        <v>45.24</v>
      </c>
      <c r="F436" s="75">
        <v>2.9999999999999997E-4</v>
      </c>
      <c r="G436" t="s">
        <v>123</v>
      </c>
      <c r="H436" t="s">
        <v>123</v>
      </c>
      <c r="I436" s="41" t="s">
        <v>32</v>
      </c>
      <c r="J436" s="1"/>
    </row>
    <row r="437" spans="1:10">
      <c r="A437">
        <v>436</v>
      </c>
      <c r="B437" t="s">
        <v>1343</v>
      </c>
      <c r="C437" t="s">
        <v>1344</v>
      </c>
      <c r="D437" t="s">
        <v>1345</v>
      </c>
      <c r="E437" s="41">
        <v>78.569999999999993</v>
      </c>
      <c r="F437" s="75">
        <v>2.9999999999999997E-4</v>
      </c>
      <c r="G437" t="s">
        <v>123</v>
      </c>
      <c r="H437" t="s">
        <v>123</v>
      </c>
      <c r="I437" s="41" t="s">
        <v>32</v>
      </c>
      <c r="J437" s="1"/>
    </row>
    <row r="438" spans="1:10">
      <c r="A438">
        <v>437</v>
      </c>
      <c r="B438" t="s">
        <v>1346</v>
      </c>
      <c r="C438" t="s">
        <v>1347</v>
      </c>
      <c r="D438" t="s">
        <v>1348</v>
      </c>
      <c r="E438" s="41">
        <v>74.040000000000006</v>
      </c>
      <c r="F438" s="75">
        <v>2.9999999999999997E-4</v>
      </c>
      <c r="G438" t="s">
        <v>89</v>
      </c>
      <c r="H438" t="s">
        <v>89</v>
      </c>
      <c r="I438" s="41" t="s">
        <v>32</v>
      </c>
      <c r="J438" s="1"/>
    </row>
    <row r="439" spans="1:10">
      <c r="A439">
        <v>438</v>
      </c>
      <c r="B439" t="s">
        <v>1349</v>
      </c>
      <c r="C439" t="s">
        <v>1350</v>
      </c>
      <c r="D439" t="s">
        <v>1351</v>
      </c>
      <c r="E439" s="41">
        <v>66.540000000000006</v>
      </c>
      <c r="F439" s="75">
        <v>2.9999999999999997E-4</v>
      </c>
      <c r="G439" t="s">
        <v>89</v>
      </c>
      <c r="H439" t="s">
        <v>89</v>
      </c>
      <c r="I439" s="41" t="s">
        <v>32</v>
      </c>
      <c r="J439" s="1"/>
    </row>
    <row r="440" spans="1:10">
      <c r="A440">
        <v>439</v>
      </c>
      <c r="B440" t="s">
        <v>1352</v>
      </c>
      <c r="C440" t="s">
        <v>1353</v>
      </c>
      <c r="D440" t="s">
        <v>1354</v>
      </c>
      <c r="E440" s="41">
        <v>60.69</v>
      </c>
      <c r="F440" s="75">
        <v>2.9999999999999997E-4</v>
      </c>
      <c r="G440" t="s">
        <v>89</v>
      </c>
      <c r="H440" t="s">
        <v>89</v>
      </c>
      <c r="I440" s="41" t="s">
        <v>32</v>
      </c>
      <c r="J440" s="1"/>
    </row>
    <row r="441" spans="1:10">
      <c r="A441">
        <v>440</v>
      </c>
      <c r="B441" t="s">
        <v>1355</v>
      </c>
      <c r="C441" t="s">
        <v>1356</v>
      </c>
      <c r="D441" t="s">
        <v>1357</v>
      </c>
      <c r="E441" s="41">
        <v>59.16</v>
      </c>
      <c r="F441" s="75">
        <v>2.9999999999999997E-4</v>
      </c>
      <c r="G441" t="s">
        <v>89</v>
      </c>
      <c r="H441" t="s">
        <v>89</v>
      </c>
      <c r="I441" s="41" t="s">
        <v>32</v>
      </c>
      <c r="J441" s="1"/>
    </row>
    <row r="442" spans="1:10">
      <c r="A442">
        <v>441</v>
      </c>
      <c r="B442" t="s">
        <v>1358</v>
      </c>
      <c r="C442" t="s">
        <v>1359</v>
      </c>
      <c r="D442" t="s">
        <v>1360</v>
      </c>
      <c r="E442" s="41">
        <v>83.24</v>
      </c>
      <c r="F442" s="75">
        <v>2.9999999999999997E-4</v>
      </c>
      <c r="G442" t="s">
        <v>89</v>
      </c>
      <c r="H442" t="s">
        <v>89</v>
      </c>
      <c r="I442" s="41" t="s">
        <v>32</v>
      </c>
      <c r="J442" s="1"/>
    </row>
    <row r="443" spans="1:10">
      <c r="A443">
        <v>442</v>
      </c>
      <c r="B443" t="s">
        <v>1361</v>
      </c>
      <c r="C443" t="s">
        <v>1362</v>
      </c>
      <c r="D443" t="s">
        <v>1363</v>
      </c>
      <c r="E443" s="41">
        <v>46.5</v>
      </c>
      <c r="F443" s="75">
        <v>2.9999999999999997E-4</v>
      </c>
      <c r="G443" t="s">
        <v>89</v>
      </c>
      <c r="H443" t="s">
        <v>89</v>
      </c>
      <c r="I443" s="41" t="s">
        <v>32</v>
      </c>
      <c r="J443" s="1"/>
    </row>
    <row r="444" spans="1:10">
      <c r="A444">
        <v>443</v>
      </c>
      <c r="B444" t="s">
        <v>1364</v>
      </c>
      <c r="C444" t="s">
        <v>1365</v>
      </c>
      <c r="D444" t="s">
        <v>1366</v>
      </c>
      <c r="E444" s="41">
        <v>57.65</v>
      </c>
      <c r="F444" s="75">
        <v>2.9999999999999997E-4</v>
      </c>
      <c r="G444" t="s">
        <v>48</v>
      </c>
      <c r="H444" t="s">
        <v>71</v>
      </c>
      <c r="I444" s="41" t="s">
        <v>32</v>
      </c>
      <c r="J444" s="1"/>
    </row>
    <row r="445" spans="1:10">
      <c r="A445">
        <v>444</v>
      </c>
      <c r="B445" t="s">
        <v>1367</v>
      </c>
      <c r="C445" t="s">
        <v>1368</v>
      </c>
      <c r="D445" t="s">
        <v>1369</v>
      </c>
      <c r="E445" s="41">
        <v>76.58</v>
      </c>
      <c r="F445" s="75">
        <v>2.9999999999999997E-4</v>
      </c>
      <c r="G445" t="s">
        <v>48</v>
      </c>
      <c r="H445" t="s">
        <v>63</v>
      </c>
      <c r="I445" s="41" t="s">
        <v>32</v>
      </c>
      <c r="J445" s="1"/>
    </row>
    <row r="446" spans="1:10">
      <c r="A446">
        <v>445</v>
      </c>
      <c r="B446" t="s">
        <v>1370</v>
      </c>
      <c r="C446" t="s">
        <v>1371</v>
      </c>
      <c r="D446" t="s">
        <v>1372</v>
      </c>
      <c r="E446" s="41">
        <v>48.37</v>
      </c>
      <c r="F446" s="75">
        <v>2.9999999999999997E-4</v>
      </c>
      <c r="G446" t="s">
        <v>48</v>
      </c>
      <c r="H446" t="s">
        <v>63</v>
      </c>
      <c r="I446" s="41" t="s">
        <v>32</v>
      </c>
      <c r="J446" s="1"/>
    </row>
    <row r="447" spans="1:10">
      <c r="A447">
        <v>446</v>
      </c>
      <c r="B447" t="s">
        <v>1373</v>
      </c>
      <c r="C447" t="s">
        <v>1374</v>
      </c>
      <c r="D447" t="s">
        <v>1375</v>
      </c>
      <c r="E447" s="41">
        <v>76.23</v>
      </c>
      <c r="F447" s="75">
        <v>2.9999999999999997E-4</v>
      </c>
      <c r="G447" t="s">
        <v>48</v>
      </c>
      <c r="H447" t="s">
        <v>71</v>
      </c>
      <c r="I447" s="41" t="s">
        <v>32</v>
      </c>
      <c r="J447" s="1"/>
    </row>
    <row r="448" spans="1:10">
      <c r="A448">
        <v>447</v>
      </c>
      <c r="B448" t="s">
        <v>1376</v>
      </c>
      <c r="C448" t="s">
        <v>1377</v>
      </c>
      <c r="D448" t="s">
        <v>1378</v>
      </c>
      <c r="E448" s="41">
        <v>81.569999999999993</v>
      </c>
      <c r="F448" s="75">
        <v>2.9999999999999997E-4</v>
      </c>
      <c r="G448" t="s">
        <v>48</v>
      </c>
      <c r="H448" t="s">
        <v>63</v>
      </c>
      <c r="I448" s="41" t="s">
        <v>32</v>
      </c>
      <c r="J448" s="1"/>
    </row>
    <row r="449" spans="1:10">
      <c r="A449">
        <v>448</v>
      </c>
      <c r="B449" t="s">
        <v>1379</v>
      </c>
      <c r="C449" t="s">
        <v>1380</v>
      </c>
      <c r="D449" t="s">
        <v>1381</v>
      </c>
      <c r="E449" s="41">
        <v>55.15</v>
      </c>
      <c r="F449" s="75">
        <v>2.9999999999999997E-4</v>
      </c>
      <c r="G449" t="s">
        <v>48</v>
      </c>
      <c r="H449" t="s">
        <v>63</v>
      </c>
      <c r="I449" s="41" t="s">
        <v>32</v>
      </c>
      <c r="J449" s="1"/>
    </row>
    <row r="450" spans="1:10">
      <c r="A450">
        <v>449</v>
      </c>
      <c r="B450" t="s">
        <v>1382</v>
      </c>
      <c r="C450" t="s">
        <v>1383</v>
      </c>
      <c r="D450" t="s">
        <v>1384</v>
      </c>
      <c r="E450" s="41">
        <v>54.41</v>
      </c>
      <c r="F450" s="75">
        <v>2.9999999999999997E-4</v>
      </c>
      <c r="G450" t="s">
        <v>48</v>
      </c>
      <c r="H450" t="s">
        <v>63</v>
      </c>
      <c r="I450" s="41" t="s">
        <v>32</v>
      </c>
      <c r="J450" s="1"/>
    </row>
    <row r="451" spans="1:10">
      <c r="A451">
        <v>450</v>
      </c>
      <c r="B451" t="s">
        <v>1385</v>
      </c>
      <c r="C451" t="s">
        <v>1386</v>
      </c>
      <c r="D451" t="s">
        <v>1387</v>
      </c>
      <c r="E451" s="41">
        <v>78.88</v>
      </c>
      <c r="F451" s="75">
        <v>2.9999999999999997E-4</v>
      </c>
      <c r="G451" t="s">
        <v>48</v>
      </c>
      <c r="H451" t="s">
        <v>71</v>
      </c>
      <c r="I451" s="41" t="s">
        <v>32</v>
      </c>
      <c r="J451" s="1"/>
    </row>
    <row r="452" spans="1:10">
      <c r="A452">
        <v>451</v>
      </c>
      <c r="B452" t="s">
        <v>1388</v>
      </c>
      <c r="C452" t="s">
        <v>1389</v>
      </c>
      <c r="D452" t="s">
        <v>1390</v>
      </c>
      <c r="E452" s="41">
        <v>73.040000000000006</v>
      </c>
      <c r="F452" s="75">
        <v>2.9999999999999997E-4</v>
      </c>
      <c r="G452" t="s">
        <v>48</v>
      </c>
      <c r="H452" t="s">
        <v>71</v>
      </c>
      <c r="I452" s="41" t="s">
        <v>32</v>
      </c>
      <c r="J452" s="1"/>
    </row>
    <row r="453" spans="1:10">
      <c r="A453">
        <v>452</v>
      </c>
      <c r="B453" t="s">
        <v>1391</v>
      </c>
      <c r="C453" t="s">
        <v>1392</v>
      </c>
      <c r="D453" t="s">
        <v>1393</v>
      </c>
      <c r="E453" s="41">
        <v>66.150000000000006</v>
      </c>
      <c r="F453" s="75">
        <v>2.9999999999999997E-4</v>
      </c>
      <c r="G453" t="s">
        <v>48</v>
      </c>
      <c r="H453" t="s">
        <v>71</v>
      </c>
      <c r="I453" s="41" t="s">
        <v>32</v>
      </c>
      <c r="J453" s="1"/>
    </row>
    <row r="454" spans="1:10">
      <c r="A454">
        <v>453</v>
      </c>
      <c r="B454" t="s">
        <v>1394</v>
      </c>
      <c r="C454" t="s">
        <v>1395</v>
      </c>
      <c r="D454" t="s">
        <v>1396</v>
      </c>
      <c r="E454" s="41">
        <v>61.16</v>
      </c>
      <c r="F454" s="75">
        <v>2.9999999999999997E-4</v>
      </c>
      <c r="G454" t="s">
        <v>48</v>
      </c>
      <c r="H454" t="s">
        <v>71</v>
      </c>
      <c r="I454" s="41" t="s">
        <v>32</v>
      </c>
      <c r="J454" s="1"/>
    </row>
    <row r="455" spans="1:10">
      <c r="A455">
        <v>454</v>
      </c>
      <c r="B455" t="s">
        <v>1397</v>
      </c>
      <c r="C455" t="s">
        <v>1398</v>
      </c>
      <c r="D455" t="s">
        <v>1399</v>
      </c>
      <c r="E455" s="41">
        <v>74.849999999999994</v>
      </c>
      <c r="F455" s="75">
        <v>2.9999999999999997E-4</v>
      </c>
      <c r="G455" t="s">
        <v>48</v>
      </c>
      <c r="H455" t="s">
        <v>71</v>
      </c>
      <c r="I455" s="41" t="s">
        <v>32</v>
      </c>
      <c r="J455" s="1"/>
    </row>
    <row r="456" spans="1:10">
      <c r="A456">
        <v>455</v>
      </c>
      <c r="B456" t="s">
        <v>1400</v>
      </c>
      <c r="C456" t="s">
        <v>1401</v>
      </c>
      <c r="D456" t="s">
        <v>1402</v>
      </c>
      <c r="E456" s="41">
        <v>63.5</v>
      </c>
      <c r="F456" s="75">
        <v>2.9999999999999997E-4</v>
      </c>
      <c r="G456" t="s">
        <v>48</v>
      </c>
      <c r="H456" t="s">
        <v>71</v>
      </c>
      <c r="I456" s="41" t="s">
        <v>32</v>
      </c>
      <c r="J456" s="1"/>
    </row>
    <row r="457" spans="1:10">
      <c r="A457">
        <v>456</v>
      </c>
      <c r="B457" t="s">
        <v>1403</v>
      </c>
      <c r="C457" t="s">
        <v>1404</v>
      </c>
      <c r="D457" t="s">
        <v>1405</v>
      </c>
      <c r="E457" s="41">
        <v>89.22</v>
      </c>
      <c r="F457" s="75">
        <v>2.9999999999999997E-4</v>
      </c>
      <c r="G457" t="s">
        <v>48</v>
      </c>
      <c r="H457" t="s">
        <v>71</v>
      </c>
      <c r="I457" s="41" t="s">
        <v>32</v>
      </c>
      <c r="J457" s="1"/>
    </row>
    <row r="458" spans="1:10">
      <c r="A458">
        <v>457</v>
      </c>
      <c r="B458" t="s">
        <v>1406</v>
      </c>
      <c r="C458" t="s">
        <v>1407</v>
      </c>
      <c r="D458" t="s">
        <v>1408</v>
      </c>
      <c r="E458" s="41">
        <v>58.75</v>
      </c>
      <c r="F458" s="75">
        <v>2.9999999999999997E-4</v>
      </c>
      <c r="G458" t="s">
        <v>48</v>
      </c>
      <c r="H458" t="s">
        <v>63</v>
      </c>
      <c r="I458" s="41" t="s">
        <v>32</v>
      </c>
      <c r="J458" s="1"/>
    </row>
    <row r="459" spans="1:10">
      <c r="A459">
        <v>458</v>
      </c>
      <c r="B459" t="s">
        <v>1409</v>
      </c>
      <c r="C459" t="s">
        <v>1410</v>
      </c>
      <c r="D459" t="s">
        <v>1411</v>
      </c>
      <c r="E459" s="41">
        <v>76.900000000000006</v>
      </c>
      <c r="F459" s="75">
        <v>2.9999999999999997E-4</v>
      </c>
      <c r="G459" t="s">
        <v>48</v>
      </c>
      <c r="H459" t="s">
        <v>63</v>
      </c>
      <c r="I459" s="41" t="s">
        <v>32</v>
      </c>
      <c r="J459" s="1"/>
    </row>
    <row r="460" spans="1:10">
      <c r="A460">
        <v>459</v>
      </c>
      <c r="B460" t="s">
        <v>1412</v>
      </c>
      <c r="C460" t="s">
        <v>1413</v>
      </c>
      <c r="D460" t="s">
        <v>1414</v>
      </c>
      <c r="E460" s="41">
        <v>62.2</v>
      </c>
      <c r="F460" s="75">
        <v>2.9999999999999997E-4</v>
      </c>
      <c r="G460" t="s">
        <v>59</v>
      </c>
      <c r="H460" t="s">
        <v>59</v>
      </c>
      <c r="I460" s="41" t="s">
        <v>32</v>
      </c>
      <c r="J460" s="1"/>
    </row>
    <row r="461" spans="1:10">
      <c r="A461">
        <v>460</v>
      </c>
      <c r="B461" t="s">
        <v>1415</v>
      </c>
      <c r="C461" t="s">
        <v>1416</v>
      </c>
      <c r="D461" t="s">
        <v>1417</v>
      </c>
      <c r="E461" s="41">
        <v>61.53</v>
      </c>
      <c r="F461" s="75">
        <v>2.9999999999999997E-4</v>
      </c>
      <c r="G461" t="s">
        <v>59</v>
      </c>
      <c r="H461" t="s">
        <v>59</v>
      </c>
      <c r="I461" s="41" t="s">
        <v>32</v>
      </c>
      <c r="J461" s="1"/>
    </row>
    <row r="462" spans="1:10">
      <c r="A462">
        <v>461</v>
      </c>
      <c r="B462" t="s">
        <v>1418</v>
      </c>
      <c r="C462" t="s">
        <v>1419</v>
      </c>
      <c r="D462" t="s">
        <v>1420</v>
      </c>
      <c r="E462" s="41">
        <v>71.44</v>
      </c>
      <c r="F462" s="75">
        <v>2.9999999999999997E-4</v>
      </c>
      <c r="G462" t="s">
        <v>59</v>
      </c>
      <c r="H462" t="s">
        <v>59</v>
      </c>
      <c r="I462" s="41" t="s">
        <v>32</v>
      </c>
      <c r="J462" s="1"/>
    </row>
    <row r="463" spans="1:10">
      <c r="A463">
        <v>462</v>
      </c>
      <c r="B463" t="s">
        <v>1421</v>
      </c>
      <c r="C463" t="s">
        <v>1422</v>
      </c>
      <c r="D463" t="s">
        <v>1423</v>
      </c>
      <c r="E463" s="41">
        <v>76.989999999999995</v>
      </c>
      <c r="F463" s="75">
        <v>2.9999999999999997E-4</v>
      </c>
      <c r="G463" t="s">
        <v>59</v>
      </c>
      <c r="H463" t="s">
        <v>59</v>
      </c>
      <c r="I463" s="41" t="s">
        <v>32</v>
      </c>
      <c r="J463" s="1"/>
    </row>
    <row r="464" spans="1:10">
      <c r="A464">
        <v>463</v>
      </c>
      <c r="B464" t="s">
        <v>1424</v>
      </c>
      <c r="C464" t="s">
        <v>1425</v>
      </c>
      <c r="D464" t="s">
        <v>1426</v>
      </c>
      <c r="E464" s="41">
        <v>56.8</v>
      </c>
      <c r="F464" s="75">
        <v>2.9999999999999997E-4</v>
      </c>
      <c r="G464" t="s">
        <v>59</v>
      </c>
      <c r="H464" t="s">
        <v>59</v>
      </c>
      <c r="I464" s="41" t="s">
        <v>32</v>
      </c>
      <c r="J464" s="1"/>
    </row>
    <row r="465" spans="1:10">
      <c r="A465">
        <v>464</v>
      </c>
      <c r="B465" t="s">
        <v>1427</v>
      </c>
      <c r="C465" t="s">
        <v>1428</v>
      </c>
      <c r="D465" t="s">
        <v>1429</v>
      </c>
      <c r="E465" s="41">
        <v>66.569999999999993</v>
      </c>
      <c r="F465" s="75">
        <v>2.9999999999999997E-4</v>
      </c>
      <c r="G465" t="s">
        <v>59</v>
      </c>
      <c r="H465" t="s">
        <v>59</v>
      </c>
      <c r="I465" s="41" t="s">
        <v>32</v>
      </c>
      <c r="J465" s="1"/>
    </row>
    <row r="466" spans="1:10">
      <c r="A466">
        <v>465</v>
      </c>
      <c r="B466" t="s">
        <v>1430</v>
      </c>
      <c r="C466" t="s">
        <v>1431</v>
      </c>
      <c r="D466" t="s">
        <v>1432</v>
      </c>
      <c r="E466" s="41">
        <v>84.2</v>
      </c>
      <c r="F466" s="75">
        <v>2.9999999999999997E-4</v>
      </c>
      <c r="G466" t="s">
        <v>34</v>
      </c>
      <c r="H466" t="s">
        <v>54</v>
      </c>
      <c r="I466" s="41" t="s">
        <v>32</v>
      </c>
      <c r="J466" s="1"/>
    </row>
    <row r="467" spans="1:10">
      <c r="A467">
        <v>466</v>
      </c>
      <c r="B467" t="s">
        <v>1433</v>
      </c>
      <c r="C467" t="s">
        <v>1434</v>
      </c>
      <c r="D467" t="s">
        <v>1435</v>
      </c>
      <c r="E467" s="41">
        <v>35.11</v>
      </c>
      <c r="F467" s="75">
        <v>2.9999999999999997E-4</v>
      </c>
      <c r="G467" t="s">
        <v>34</v>
      </c>
      <c r="H467" t="s">
        <v>54</v>
      </c>
      <c r="I467" s="41" t="s">
        <v>32</v>
      </c>
      <c r="J467" s="1"/>
    </row>
    <row r="468" spans="1:10">
      <c r="A468">
        <v>467</v>
      </c>
      <c r="B468" t="s">
        <v>1436</v>
      </c>
      <c r="C468" t="s">
        <v>1437</v>
      </c>
      <c r="D468" t="s">
        <v>1438</v>
      </c>
      <c r="E468" s="41">
        <v>61.86</v>
      </c>
      <c r="F468" s="75">
        <v>2.0999999999999999E-3</v>
      </c>
      <c r="G468" t="s">
        <v>34</v>
      </c>
      <c r="H468" t="s">
        <v>33</v>
      </c>
      <c r="I468" s="41" t="s">
        <v>32</v>
      </c>
      <c r="J468" s="1"/>
    </row>
    <row r="469" spans="1:10">
      <c r="A469">
        <v>468</v>
      </c>
      <c r="B469" t="s">
        <v>1439</v>
      </c>
      <c r="C469" t="s">
        <v>1440</v>
      </c>
      <c r="D469" t="s">
        <v>1441</v>
      </c>
      <c r="E469" s="41">
        <v>60.11</v>
      </c>
      <c r="F469" s="75">
        <v>1.6999999999999999E-3</v>
      </c>
      <c r="G469" t="s">
        <v>34</v>
      </c>
      <c r="H469" t="s">
        <v>33</v>
      </c>
      <c r="I469" s="41" t="s">
        <v>32</v>
      </c>
      <c r="J469" s="1"/>
    </row>
    <row r="470" spans="1:10">
      <c r="A470">
        <v>469</v>
      </c>
      <c r="B470" t="s">
        <v>1442</v>
      </c>
      <c r="C470" t="s">
        <v>1443</v>
      </c>
      <c r="D470" t="s">
        <v>1444</v>
      </c>
      <c r="E470" s="41">
        <v>60.83</v>
      </c>
      <c r="F470" s="75">
        <v>2.9999999999999997E-4</v>
      </c>
      <c r="G470" t="s">
        <v>34</v>
      </c>
      <c r="H470" t="s">
        <v>54</v>
      </c>
      <c r="I470" s="41" t="s">
        <v>32</v>
      </c>
      <c r="J470" s="1"/>
    </row>
    <row r="471" spans="1:10">
      <c r="A471">
        <v>470</v>
      </c>
      <c r="B471" t="s">
        <v>1445</v>
      </c>
      <c r="C471" t="s">
        <v>1446</v>
      </c>
      <c r="D471" t="s">
        <v>1447</v>
      </c>
      <c r="E471" s="41">
        <v>58.86</v>
      </c>
      <c r="F471" s="75">
        <v>8.9999999999999998E-4</v>
      </c>
      <c r="G471" t="s">
        <v>34</v>
      </c>
      <c r="H471" t="s">
        <v>33</v>
      </c>
      <c r="I471" s="41" t="s">
        <v>32</v>
      </c>
      <c r="J471" s="1"/>
    </row>
    <row r="472" spans="1:10">
      <c r="A472">
        <v>471</v>
      </c>
      <c r="B472" t="s">
        <v>1448</v>
      </c>
      <c r="C472" t="s">
        <v>1449</v>
      </c>
      <c r="D472" t="s">
        <v>1450</v>
      </c>
      <c r="E472" s="41">
        <v>53.64</v>
      </c>
      <c r="F472" s="75">
        <v>2.9999999999999997E-4</v>
      </c>
      <c r="G472" t="s">
        <v>34</v>
      </c>
      <c r="H472" t="s">
        <v>54</v>
      </c>
      <c r="I472" s="41" t="s">
        <v>32</v>
      </c>
      <c r="J472" s="1"/>
    </row>
    <row r="473" spans="1:10">
      <c r="A473">
        <v>472</v>
      </c>
      <c r="B473" t="s">
        <v>1451</v>
      </c>
      <c r="C473" t="s">
        <v>1452</v>
      </c>
      <c r="D473" t="s">
        <v>1453</v>
      </c>
      <c r="E473" s="41">
        <v>67.56</v>
      </c>
      <c r="F473" s="75">
        <v>2.9999999999999997E-4</v>
      </c>
      <c r="G473" t="s">
        <v>34</v>
      </c>
      <c r="H473" t="s">
        <v>54</v>
      </c>
      <c r="I473" s="41" t="s">
        <v>32</v>
      </c>
      <c r="J473" s="1"/>
    </row>
    <row r="474" spans="1:10">
      <c r="A474">
        <v>473</v>
      </c>
      <c r="B474" t="s">
        <v>1454</v>
      </c>
      <c r="C474" t="s">
        <v>1455</v>
      </c>
      <c r="F474" s="75">
        <v>2.9999999999999997E-4</v>
      </c>
      <c r="G474" t="s">
        <v>34</v>
      </c>
      <c r="H474" t="s">
        <v>43</v>
      </c>
      <c r="I474" s="41" t="s">
        <v>1126</v>
      </c>
      <c r="J474" s="1"/>
    </row>
    <row r="475" spans="1:10">
      <c r="A475">
        <v>474</v>
      </c>
      <c r="B475" t="s">
        <v>1456</v>
      </c>
      <c r="C475" t="s">
        <v>1457</v>
      </c>
      <c r="D475" t="s">
        <v>1458</v>
      </c>
      <c r="E475" s="41">
        <v>34.29</v>
      </c>
      <c r="F475" s="75">
        <v>2.9999999999999997E-4</v>
      </c>
      <c r="G475" t="s">
        <v>34</v>
      </c>
      <c r="H475" t="s">
        <v>54</v>
      </c>
      <c r="I475" s="41" t="s">
        <v>32</v>
      </c>
      <c r="J475" s="1"/>
    </row>
    <row r="476" spans="1:10">
      <c r="A476">
        <v>475</v>
      </c>
      <c r="B476" t="s">
        <v>1459</v>
      </c>
      <c r="C476" t="s">
        <v>1460</v>
      </c>
      <c r="D476" t="s">
        <v>1461</v>
      </c>
      <c r="E476" s="41">
        <v>57.91</v>
      </c>
      <c r="F476" s="75">
        <v>2.9999999999999997E-4</v>
      </c>
      <c r="G476" t="s">
        <v>34</v>
      </c>
      <c r="H476" t="s">
        <v>33</v>
      </c>
      <c r="I476" s="41" t="s">
        <v>32</v>
      </c>
      <c r="J476" s="1"/>
    </row>
    <row r="477" spans="1:10">
      <c r="A477">
        <v>476</v>
      </c>
      <c r="B477" t="s">
        <v>1462</v>
      </c>
      <c r="C477" t="s">
        <v>1463</v>
      </c>
      <c r="D477" t="s">
        <v>1464</v>
      </c>
      <c r="E477" s="41">
        <v>50.14</v>
      </c>
      <c r="F477" s="75">
        <v>2.9999999999999997E-4</v>
      </c>
      <c r="G477" t="s">
        <v>34</v>
      </c>
      <c r="H477" t="s">
        <v>54</v>
      </c>
      <c r="I477" s="41" t="s">
        <v>32</v>
      </c>
      <c r="J477" s="1"/>
    </row>
    <row r="478" spans="1:10">
      <c r="A478">
        <v>477</v>
      </c>
      <c r="B478" t="s">
        <v>1465</v>
      </c>
      <c r="C478" t="s">
        <v>1466</v>
      </c>
      <c r="D478" t="s">
        <v>1467</v>
      </c>
      <c r="E478" s="41">
        <v>50.98</v>
      </c>
      <c r="F478" s="75">
        <v>4.0000000000000002E-4</v>
      </c>
      <c r="G478" t="s">
        <v>34</v>
      </c>
      <c r="H478" t="s">
        <v>33</v>
      </c>
      <c r="I478" s="41" t="s">
        <v>32</v>
      </c>
      <c r="J478" s="1"/>
    </row>
    <row r="479" spans="1:10">
      <c r="A479">
        <v>478</v>
      </c>
      <c r="B479" t="s">
        <v>1468</v>
      </c>
      <c r="C479" t="s">
        <v>1469</v>
      </c>
      <c r="D479" t="s">
        <v>1464</v>
      </c>
      <c r="E479" s="41">
        <v>50.14</v>
      </c>
      <c r="F479" s="75">
        <v>2.9999999999999997E-4</v>
      </c>
      <c r="G479" t="s">
        <v>34</v>
      </c>
      <c r="H479" t="s">
        <v>54</v>
      </c>
      <c r="I479" s="41" t="s">
        <v>32</v>
      </c>
      <c r="J479" s="1"/>
    </row>
    <row r="480" spans="1:10">
      <c r="A480">
        <v>479</v>
      </c>
      <c r="B480" t="s">
        <v>1470</v>
      </c>
      <c r="C480" t="s">
        <v>1471</v>
      </c>
      <c r="D480" t="s">
        <v>1472</v>
      </c>
      <c r="E480" s="41">
        <v>42.37</v>
      </c>
      <c r="F480" s="75">
        <v>2.9999999999999997E-4</v>
      </c>
      <c r="G480" t="s">
        <v>34</v>
      </c>
      <c r="H480" t="s">
        <v>33</v>
      </c>
      <c r="I480" s="41" t="s">
        <v>32</v>
      </c>
      <c r="J480" s="1"/>
    </row>
    <row r="481" spans="1:10">
      <c r="A481">
        <v>480</v>
      </c>
      <c r="B481" t="s">
        <v>1473</v>
      </c>
      <c r="C481" t="s">
        <v>1474</v>
      </c>
      <c r="D481" t="s">
        <v>1475</v>
      </c>
      <c r="E481" s="41">
        <v>42</v>
      </c>
      <c r="F481" s="75">
        <v>2.9999999999999997E-4</v>
      </c>
      <c r="G481" t="s">
        <v>34</v>
      </c>
      <c r="H481" t="s">
        <v>33</v>
      </c>
      <c r="I481" s="41" t="s">
        <v>32</v>
      </c>
      <c r="J481" s="1"/>
    </row>
    <row r="482" spans="1:10">
      <c r="A482">
        <v>481</v>
      </c>
      <c r="B482" t="s">
        <v>1476</v>
      </c>
      <c r="C482" t="s">
        <v>1477</v>
      </c>
      <c r="D482" t="s">
        <v>1478</v>
      </c>
      <c r="E482" s="41">
        <v>66.7</v>
      </c>
      <c r="F482" s="75">
        <v>2.9999999999999997E-4</v>
      </c>
      <c r="G482" t="s">
        <v>34</v>
      </c>
      <c r="H482" t="s">
        <v>54</v>
      </c>
      <c r="I482" s="41" t="s">
        <v>32</v>
      </c>
      <c r="J482" s="1"/>
    </row>
    <row r="483" spans="1:10">
      <c r="A483">
        <v>482</v>
      </c>
      <c r="B483" t="s">
        <v>1479</v>
      </c>
      <c r="C483" t="s">
        <v>1480</v>
      </c>
      <c r="D483" t="s">
        <v>1481</v>
      </c>
      <c r="E483" s="41">
        <v>71.52</v>
      </c>
      <c r="F483" s="75">
        <v>2.9999999999999997E-4</v>
      </c>
      <c r="G483" t="s">
        <v>98</v>
      </c>
      <c r="H483" t="s">
        <v>101</v>
      </c>
      <c r="I483" s="41" t="s">
        <v>102</v>
      </c>
      <c r="J483" s="1"/>
    </row>
    <row r="484" spans="1:10">
      <c r="A484">
        <v>483</v>
      </c>
      <c r="B484" t="s">
        <v>1482</v>
      </c>
      <c r="C484" t="s">
        <v>1483</v>
      </c>
      <c r="D484" t="s">
        <v>1484</v>
      </c>
      <c r="E484" s="41">
        <v>85.74</v>
      </c>
      <c r="F484" s="75">
        <v>2.9999999999999997E-4</v>
      </c>
      <c r="G484" t="s">
        <v>98</v>
      </c>
      <c r="H484" t="s">
        <v>101</v>
      </c>
      <c r="I484" s="41" t="s">
        <v>102</v>
      </c>
      <c r="J484" s="1"/>
    </row>
    <row r="485" spans="1:10">
      <c r="A485">
        <v>484</v>
      </c>
      <c r="B485" t="s">
        <v>1485</v>
      </c>
      <c r="C485" t="s">
        <v>1486</v>
      </c>
      <c r="D485" s="26" t="s">
        <v>1487</v>
      </c>
      <c r="E485" s="73">
        <v>74.88</v>
      </c>
      <c r="F485" s="75">
        <v>2.9999999999999997E-4</v>
      </c>
      <c r="G485" t="s">
        <v>98</v>
      </c>
      <c r="H485" t="s">
        <v>101</v>
      </c>
      <c r="I485" s="41" t="s">
        <v>102</v>
      </c>
      <c r="J485" s="1"/>
    </row>
    <row r="486" spans="1:10">
      <c r="A486">
        <v>485</v>
      </c>
      <c r="B486" t="s">
        <v>1488</v>
      </c>
      <c r="C486" t="s">
        <v>1489</v>
      </c>
      <c r="D486" t="s">
        <v>1490</v>
      </c>
      <c r="E486" s="41">
        <v>53.79</v>
      </c>
      <c r="F486" s="75">
        <v>2.9999999999999997E-4</v>
      </c>
      <c r="G486" t="s">
        <v>52</v>
      </c>
      <c r="H486" t="s">
        <v>53</v>
      </c>
      <c r="I486" s="41" t="s">
        <v>32</v>
      </c>
      <c r="J486" s="1"/>
    </row>
    <row r="487" spans="1:10">
      <c r="A487">
        <v>486</v>
      </c>
      <c r="B487" t="s">
        <v>1491</v>
      </c>
      <c r="C487" t="s">
        <v>1492</v>
      </c>
      <c r="D487" t="s">
        <v>1493</v>
      </c>
      <c r="E487" s="41">
        <v>57.54</v>
      </c>
      <c r="F487" s="75">
        <v>2.9999999999999997E-4</v>
      </c>
      <c r="G487" t="s">
        <v>52</v>
      </c>
      <c r="H487" t="s">
        <v>53</v>
      </c>
      <c r="I487" s="41" t="s">
        <v>32</v>
      </c>
      <c r="J487" s="1"/>
    </row>
    <row r="488" spans="1:10">
      <c r="A488">
        <v>487</v>
      </c>
      <c r="B488" t="s">
        <v>1494</v>
      </c>
      <c r="C488" t="s">
        <v>1495</v>
      </c>
      <c r="D488" t="s">
        <v>1496</v>
      </c>
      <c r="E488" s="41">
        <v>69.39</v>
      </c>
      <c r="F488" s="75">
        <v>2.9999999999999997E-4</v>
      </c>
      <c r="G488" t="s">
        <v>52</v>
      </c>
      <c r="H488" t="s">
        <v>53</v>
      </c>
      <c r="I488" s="41" t="s">
        <v>32</v>
      </c>
      <c r="J488" s="1"/>
    </row>
    <row r="489" spans="1:10">
      <c r="A489">
        <v>488</v>
      </c>
      <c r="B489" t="s">
        <v>1497</v>
      </c>
      <c r="C489" t="s">
        <v>1498</v>
      </c>
      <c r="D489" t="s">
        <v>1499</v>
      </c>
      <c r="E489" s="41">
        <v>59.55</v>
      </c>
      <c r="F489" s="75">
        <v>2.9999999999999997E-4</v>
      </c>
      <c r="G489" t="s">
        <v>52</v>
      </c>
      <c r="H489" t="s">
        <v>53</v>
      </c>
      <c r="I489" s="41" t="s">
        <v>32</v>
      </c>
      <c r="J489" s="1"/>
    </row>
    <row r="490" spans="1:10">
      <c r="A490">
        <v>489</v>
      </c>
      <c r="B490" t="s">
        <v>1500</v>
      </c>
      <c r="C490" t="s">
        <v>1501</v>
      </c>
      <c r="D490" t="s">
        <v>1502</v>
      </c>
      <c r="E490" s="41">
        <v>68.239999999999995</v>
      </c>
      <c r="F490" s="75">
        <v>2.9999999999999997E-4</v>
      </c>
      <c r="G490" t="s">
        <v>52</v>
      </c>
      <c r="H490" t="s">
        <v>53</v>
      </c>
      <c r="I490" s="41" t="s">
        <v>32</v>
      </c>
      <c r="J490" s="1"/>
    </row>
    <row r="491" spans="1:10">
      <c r="A491">
        <v>490</v>
      </c>
      <c r="B491" t="s">
        <v>1503</v>
      </c>
      <c r="C491" t="s">
        <v>1504</v>
      </c>
      <c r="D491" t="s">
        <v>1505</v>
      </c>
      <c r="E491" s="41">
        <v>72.45</v>
      </c>
      <c r="F491" s="75">
        <v>2.9999999999999997E-4</v>
      </c>
      <c r="G491" t="s">
        <v>52</v>
      </c>
      <c r="H491" t="s">
        <v>53</v>
      </c>
      <c r="I491" s="41" t="s">
        <v>32</v>
      </c>
      <c r="J491" s="1"/>
    </row>
    <row r="492" spans="1:10">
      <c r="A492">
        <v>491</v>
      </c>
      <c r="B492" t="s">
        <v>1506</v>
      </c>
      <c r="C492" t="s">
        <v>1507</v>
      </c>
      <c r="D492" t="s">
        <v>1508</v>
      </c>
      <c r="E492" s="41">
        <v>51.46</v>
      </c>
      <c r="F492" s="75">
        <v>2.9999999999999997E-4</v>
      </c>
      <c r="G492" t="s">
        <v>52</v>
      </c>
      <c r="H492" t="s">
        <v>93</v>
      </c>
      <c r="I492" s="41" t="s">
        <v>32</v>
      </c>
      <c r="J492" s="1"/>
    </row>
    <row r="493" spans="1:10">
      <c r="A493">
        <v>492</v>
      </c>
      <c r="B493" t="s">
        <v>1509</v>
      </c>
      <c r="C493" t="s">
        <v>1510</v>
      </c>
      <c r="D493" t="s">
        <v>1511</v>
      </c>
      <c r="E493" s="41">
        <v>65.03</v>
      </c>
      <c r="F493" s="75">
        <v>2.9999999999999997E-4</v>
      </c>
      <c r="G493" t="s">
        <v>75</v>
      </c>
      <c r="H493" t="s">
        <v>119</v>
      </c>
      <c r="I493" s="41" t="s">
        <v>32</v>
      </c>
      <c r="J493" s="1"/>
    </row>
    <row r="494" spans="1:10">
      <c r="A494">
        <v>493</v>
      </c>
      <c r="B494" t="s">
        <v>1512</v>
      </c>
      <c r="C494" t="s">
        <v>1513</v>
      </c>
      <c r="D494" s="26" t="s">
        <v>1514</v>
      </c>
      <c r="E494" s="73">
        <v>71.56</v>
      </c>
      <c r="F494" s="75">
        <v>2.9999999999999997E-4</v>
      </c>
      <c r="G494" t="s">
        <v>75</v>
      </c>
      <c r="H494" t="s">
        <v>119</v>
      </c>
      <c r="I494" s="41" t="s">
        <v>32</v>
      </c>
      <c r="J494" s="1"/>
    </row>
    <row r="495" spans="1:10">
      <c r="A495">
        <v>494</v>
      </c>
      <c r="B495" t="s">
        <v>1515</v>
      </c>
      <c r="C495" t="s">
        <v>1516</v>
      </c>
      <c r="D495" t="s">
        <v>1517</v>
      </c>
      <c r="E495" s="41">
        <v>39.799999999999997</v>
      </c>
      <c r="F495" s="75">
        <v>2.9999999999999997E-4</v>
      </c>
      <c r="G495" t="s">
        <v>75</v>
      </c>
      <c r="H495" t="s">
        <v>111</v>
      </c>
      <c r="I495" s="41" t="s">
        <v>32</v>
      </c>
      <c r="J495" s="1"/>
    </row>
    <row r="496" spans="1:10">
      <c r="A496">
        <v>495</v>
      </c>
      <c r="B496" t="s">
        <v>1518</v>
      </c>
      <c r="C496" t="s">
        <v>1519</v>
      </c>
      <c r="D496" t="s">
        <v>1520</v>
      </c>
      <c r="E496" s="41">
        <v>78.790000000000006</v>
      </c>
      <c r="F496" s="75">
        <v>2.9999999999999997E-4</v>
      </c>
      <c r="G496" t="s">
        <v>75</v>
      </c>
      <c r="H496" t="s">
        <v>111</v>
      </c>
      <c r="I496" s="41" t="s">
        <v>32</v>
      </c>
      <c r="J496" s="1"/>
    </row>
    <row r="497" spans="1:10">
      <c r="A497">
        <v>496</v>
      </c>
      <c r="B497" t="s">
        <v>1521</v>
      </c>
      <c r="C497" t="s">
        <v>1522</v>
      </c>
      <c r="D497" t="s">
        <v>1523</v>
      </c>
      <c r="E497" s="41">
        <v>77.42</v>
      </c>
      <c r="F497" s="75">
        <v>2.9999999999999997E-4</v>
      </c>
      <c r="G497" t="s">
        <v>75</v>
      </c>
      <c r="H497" t="s">
        <v>103</v>
      </c>
      <c r="I497" s="41" t="s">
        <v>32</v>
      </c>
      <c r="J497" s="1"/>
    </row>
    <row r="498" spans="1:10">
      <c r="A498">
        <v>497</v>
      </c>
      <c r="B498" t="s">
        <v>1524</v>
      </c>
      <c r="C498" t="s">
        <v>1525</v>
      </c>
      <c r="D498" t="s">
        <v>1526</v>
      </c>
      <c r="E498" s="41">
        <v>47.93</v>
      </c>
      <c r="F498" s="75">
        <v>2.9999999999999997E-4</v>
      </c>
      <c r="G498" t="s">
        <v>75</v>
      </c>
      <c r="H498" t="s">
        <v>111</v>
      </c>
      <c r="I498" s="41" t="s">
        <v>32</v>
      </c>
      <c r="J498" s="1"/>
    </row>
    <row r="499" spans="1:10">
      <c r="A499">
        <v>498</v>
      </c>
      <c r="B499" t="s">
        <v>1527</v>
      </c>
      <c r="C499" t="s">
        <v>1528</v>
      </c>
      <c r="D499" t="s">
        <v>1529</v>
      </c>
      <c r="E499" s="41">
        <v>51.42</v>
      </c>
      <c r="F499" s="75">
        <v>2.9999999999999997E-4</v>
      </c>
      <c r="G499" t="s">
        <v>75</v>
      </c>
      <c r="H499" t="s">
        <v>103</v>
      </c>
      <c r="I499" s="41" t="s">
        <v>32</v>
      </c>
      <c r="J499" s="1"/>
    </row>
    <row r="500" spans="1:10">
      <c r="A500">
        <v>499</v>
      </c>
      <c r="B500" t="s">
        <v>1530</v>
      </c>
      <c r="C500" t="s">
        <v>1531</v>
      </c>
      <c r="F500" s="75">
        <v>2.9999999999999997E-4</v>
      </c>
      <c r="G500" t="s">
        <v>75</v>
      </c>
      <c r="H500" t="s">
        <v>111</v>
      </c>
      <c r="I500" s="41" t="s">
        <v>1126</v>
      </c>
      <c r="J500" s="1"/>
    </row>
    <row r="501" spans="1:10">
      <c r="A501">
        <v>500</v>
      </c>
      <c r="B501" t="s">
        <v>1532</v>
      </c>
      <c r="C501" t="s">
        <v>1533</v>
      </c>
      <c r="D501" t="s">
        <v>1534</v>
      </c>
      <c r="E501" s="41">
        <v>77.349999999999994</v>
      </c>
      <c r="F501" s="75">
        <v>2.0000000000000001E-4</v>
      </c>
      <c r="G501" t="s">
        <v>115</v>
      </c>
      <c r="H501" t="s">
        <v>158</v>
      </c>
      <c r="I501" s="41" t="s">
        <v>32</v>
      </c>
      <c r="J501" s="1"/>
    </row>
    <row r="502" spans="1:10">
      <c r="A502">
        <v>501</v>
      </c>
      <c r="B502" t="s">
        <v>1535</v>
      </c>
      <c r="C502" t="s">
        <v>1536</v>
      </c>
      <c r="D502" t="s">
        <v>1537</v>
      </c>
      <c r="E502" s="41">
        <v>46.96</v>
      </c>
      <c r="F502" s="75">
        <v>2.0000000000000001E-4</v>
      </c>
      <c r="G502" t="s">
        <v>115</v>
      </c>
      <c r="H502" t="s">
        <v>158</v>
      </c>
      <c r="I502" s="41" t="s">
        <v>32</v>
      </c>
      <c r="J502" s="1"/>
    </row>
    <row r="503" spans="1:10">
      <c r="A503">
        <v>502</v>
      </c>
      <c r="B503" t="s">
        <v>1538</v>
      </c>
      <c r="C503" t="s">
        <v>1539</v>
      </c>
      <c r="D503" t="s">
        <v>1540</v>
      </c>
      <c r="E503" s="41">
        <v>47.41</v>
      </c>
      <c r="F503" s="75">
        <v>2.0000000000000001E-4</v>
      </c>
      <c r="G503" t="s">
        <v>115</v>
      </c>
      <c r="H503" t="s">
        <v>158</v>
      </c>
      <c r="I503" s="41" t="s">
        <v>32</v>
      </c>
      <c r="J503" s="1"/>
    </row>
    <row r="504" spans="1:10">
      <c r="A504">
        <v>503</v>
      </c>
      <c r="B504" t="s">
        <v>1541</v>
      </c>
      <c r="C504" t="s">
        <v>1542</v>
      </c>
      <c r="D504" t="s">
        <v>1543</v>
      </c>
      <c r="E504" s="41">
        <v>76.5</v>
      </c>
      <c r="F504" s="75">
        <v>2.0000000000000001E-4</v>
      </c>
      <c r="G504" t="s">
        <v>107</v>
      </c>
      <c r="H504" t="s">
        <v>107</v>
      </c>
      <c r="I504" s="41" t="s">
        <v>32</v>
      </c>
      <c r="J504" s="1"/>
    </row>
    <row r="505" spans="1:10">
      <c r="A505">
        <v>504</v>
      </c>
      <c r="B505" t="s">
        <v>1544</v>
      </c>
      <c r="C505" t="s">
        <v>1545</v>
      </c>
      <c r="D505" t="s">
        <v>734</v>
      </c>
      <c r="E505" s="41">
        <v>80.489999999999995</v>
      </c>
      <c r="F505" s="75">
        <v>2.0000000000000001E-4</v>
      </c>
      <c r="G505" t="s">
        <v>107</v>
      </c>
      <c r="H505" t="s">
        <v>107</v>
      </c>
      <c r="I505" s="41" t="s">
        <v>32</v>
      </c>
      <c r="J505" s="1"/>
    </row>
    <row r="506" spans="1:10">
      <c r="A506">
        <v>505</v>
      </c>
      <c r="B506" t="s">
        <v>1546</v>
      </c>
      <c r="C506" t="s">
        <v>1547</v>
      </c>
      <c r="D506" s="26" t="s">
        <v>1548</v>
      </c>
      <c r="E506" s="73">
        <v>60.79</v>
      </c>
      <c r="F506" s="75">
        <v>2.0000000000000001E-4</v>
      </c>
      <c r="G506" t="s">
        <v>107</v>
      </c>
      <c r="H506" t="s">
        <v>107</v>
      </c>
      <c r="I506" s="41" t="s">
        <v>32</v>
      </c>
      <c r="J506" s="1"/>
    </row>
    <row r="507" spans="1:10">
      <c r="A507">
        <v>506</v>
      </c>
      <c r="B507" t="s">
        <v>1549</v>
      </c>
      <c r="C507" t="s">
        <v>1550</v>
      </c>
      <c r="D507" t="s">
        <v>1551</v>
      </c>
      <c r="E507" s="41">
        <v>54.02</v>
      </c>
      <c r="F507" s="75">
        <v>2.0000000000000001E-4</v>
      </c>
      <c r="G507" t="s">
        <v>30</v>
      </c>
      <c r="H507" t="s">
        <v>31</v>
      </c>
      <c r="I507" s="41" t="s">
        <v>32</v>
      </c>
      <c r="J507" s="1"/>
    </row>
    <row r="508" spans="1:10">
      <c r="A508">
        <v>507</v>
      </c>
      <c r="B508" t="s">
        <v>1552</v>
      </c>
      <c r="C508" t="s">
        <v>1553</v>
      </c>
      <c r="D508" t="s">
        <v>1554</v>
      </c>
      <c r="E508" s="41">
        <v>74.72</v>
      </c>
      <c r="F508" s="75">
        <v>2.0000000000000001E-4</v>
      </c>
      <c r="G508" t="s">
        <v>30</v>
      </c>
      <c r="H508" t="s">
        <v>31</v>
      </c>
      <c r="I508" s="41" t="s">
        <v>32</v>
      </c>
      <c r="J508" s="1"/>
    </row>
    <row r="509" spans="1:10">
      <c r="A509">
        <v>508</v>
      </c>
      <c r="B509" t="s">
        <v>1555</v>
      </c>
      <c r="C509" t="s">
        <v>1556</v>
      </c>
      <c r="D509" t="s">
        <v>1557</v>
      </c>
      <c r="E509" s="41">
        <v>49.89</v>
      </c>
      <c r="F509" s="75">
        <v>2.0000000000000001E-4</v>
      </c>
      <c r="G509" t="s">
        <v>30</v>
      </c>
      <c r="H509" t="s">
        <v>31</v>
      </c>
      <c r="I509" s="41" t="s">
        <v>32</v>
      </c>
      <c r="J509" s="1"/>
    </row>
    <row r="510" spans="1:10">
      <c r="A510">
        <v>509</v>
      </c>
      <c r="B510" t="s">
        <v>1558</v>
      </c>
      <c r="C510" t="s">
        <v>1559</v>
      </c>
      <c r="D510" t="s">
        <v>1560</v>
      </c>
      <c r="E510" s="41">
        <v>69.33</v>
      </c>
      <c r="F510" s="75">
        <v>2.0000000000000001E-4</v>
      </c>
      <c r="G510" t="s">
        <v>30</v>
      </c>
      <c r="H510" t="s">
        <v>31</v>
      </c>
      <c r="I510" s="41" t="s">
        <v>32</v>
      </c>
      <c r="J510" s="1"/>
    </row>
    <row r="511" spans="1:10">
      <c r="A511">
        <v>510</v>
      </c>
      <c r="B511" t="s">
        <v>1561</v>
      </c>
      <c r="C511" t="s">
        <v>1562</v>
      </c>
      <c r="D511" t="s">
        <v>1563</v>
      </c>
      <c r="E511" s="41">
        <v>54.45</v>
      </c>
      <c r="F511" s="75">
        <v>2.0000000000000001E-4</v>
      </c>
      <c r="G511" t="s">
        <v>30</v>
      </c>
      <c r="H511" t="s">
        <v>42</v>
      </c>
      <c r="I511" s="41" t="s">
        <v>32</v>
      </c>
      <c r="J511" s="1"/>
    </row>
    <row r="512" spans="1:10">
      <c r="A512">
        <v>511</v>
      </c>
      <c r="B512" t="s">
        <v>1564</v>
      </c>
      <c r="C512" t="s">
        <v>1565</v>
      </c>
      <c r="D512" t="s">
        <v>1566</v>
      </c>
      <c r="E512" s="41">
        <v>57.6</v>
      </c>
      <c r="F512" s="75">
        <v>2.0000000000000001E-4</v>
      </c>
      <c r="G512" t="s">
        <v>30</v>
      </c>
      <c r="H512" t="s">
        <v>42</v>
      </c>
      <c r="I512" s="41" t="s">
        <v>32</v>
      </c>
      <c r="J512" s="1"/>
    </row>
    <row r="513" spans="1:10">
      <c r="A513">
        <v>512</v>
      </c>
      <c r="B513" t="s">
        <v>1567</v>
      </c>
      <c r="C513" t="s">
        <v>1568</v>
      </c>
      <c r="D513" t="s">
        <v>1569</v>
      </c>
      <c r="E513" s="41">
        <v>71.16</v>
      </c>
      <c r="F513" s="75">
        <v>2.0000000000000001E-4</v>
      </c>
      <c r="G513" t="s">
        <v>30</v>
      </c>
      <c r="H513" t="s">
        <v>31</v>
      </c>
      <c r="I513" s="41" t="s">
        <v>32</v>
      </c>
      <c r="J513" s="1"/>
    </row>
    <row r="514" spans="1:10">
      <c r="A514">
        <v>513</v>
      </c>
      <c r="B514" t="s">
        <v>1570</v>
      </c>
      <c r="C514" t="s">
        <v>1571</v>
      </c>
      <c r="D514" t="s">
        <v>1572</v>
      </c>
      <c r="E514" s="41">
        <v>58.19</v>
      </c>
      <c r="F514" s="75">
        <v>2.0000000000000001E-4</v>
      </c>
      <c r="G514" t="s">
        <v>30</v>
      </c>
      <c r="H514" t="s">
        <v>42</v>
      </c>
      <c r="I514" s="41" t="s">
        <v>32</v>
      </c>
      <c r="J514" s="1"/>
    </row>
    <row r="515" spans="1:10">
      <c r="A515">
        <v>514</v>
      </c>
      <c r="B515" t="s">
        <v>1573</v>
      </c>
      <c r="C515" t="s">
        <v>1574</v>
      </c>
      <c r="D515" t="s">
        <v>773</v>
      </c>
      <c r="E515" s="41">
        <v>39.72</v>
      </c>
      <c r="F515" s="75">
        <v>2.0000000000000001E-4</v>
      </c>
      <c r="G515" t="s">
        <v>123</v>
      </c>
      <c r="H515" t="s">
        <v>123</v>
      </c>
      <c r="I515" s="41" t="s">
        <v>32</v>
      </c>
      <c r="J515" s="1"/>
    </row>
    <row r="516" spans="1:10">
      <c r="A516">
        <v>515</v>
      </c>
      <c r="B516" t="s">
        <v>1575</v>
      </c>
      <c r="C516" t="s">
        <v>1576</v>
      </c>
      <c r="D516" t="s">
        <v>1577</v>
      </c>
      <c r="E516" s="41">
        <v>41.94</v>
      </c>
      <c r="F516" s="75">
        <v>2.0000000000000001E-4</v>
      </c>
      <c r="G516" t="s">
        <v>123</v>
      </c>
      <c r="H516" t="s">
        <v>123</v>
      </c>
      <c r="I516" s="41" t="s">
        <v>32</v>
      </c>
      <c r="J516" s="1"/>
    </row>
    <row r="517" spans="1:10">
      <c r="A517">
        <v>516</v>
      </c>
      <c r="B517" t="s">
        <v>1578</v>
      </c>
      <c r="C517" t="s">
        <v>1579</v>
      </c>
      <c r="D517" t="s">
        <v>1580</v>
      </c>
      <c r="E517" s="41">
        <v>65.97</v>
      </c>
      <c r="F517" s="75">
        <v>2.0000000000000001E-4</v>
      </c>
      <c r="G517" t="s">
        <v>123</v>
      </c>
      <c r="H517" t="s">
        <v>123</v>
      </c>
      <c r="I517" s="41" t="s">
        <v>32</v>
      </c>
      <c r="J517" s="1"/>
    </row>
    <row r="518" spans="1:10">
      <c r="A518">
        <v>517</v>
      </c>
      <c r="B518" t="s">
        <v>1581</v>
      </c>
      <c r="C518" t="s">
        <v>1582</v>
      </c>
      <c r="D518" t="s">
        <v>1583</v>
      </c>
      <c r="E518" s="41">
        <v>69.27</v>
      </c>
      <c r="F518" s="75">
        <v>2.0000000000000001E-4</v>
      </c>
      <c r="G518" t="s">
        <v>123</v>
      </c>
      <c r="H518" t="s">
        <v>123</v>
      </c>
      <c r="I518" s="41" t="s">
        <v>32</v>
      </c>
      <c r="J518" s="1"/>
    </row>
    <row r="519" spans="1:10">
      <c r="A519">
        <v>518</v>
      </c>
      <c r="B519" t="s">
        <v>1584</v>
      </c>
      <c r="C519" t="s">
        <v>1585</v>
      </c>
      <c r="D519" t="s">
        <v>1586</v>
      </c>
      <c r="E519" s="41">
        <v>76.17</v>
      </c>
      <c r="F519" s="75">
        <v>2.0000000000000001E-4</v>
      </c>
      <c r="G519" t="s">
        <v>123</v>
      </c>
      <c r="H519" t="s">
        <v>123</v>
      </c>
      <c r="I519" s="41" t="s">
        <v>32</v>
      </c>
      <c r="J519" s="1"/>
    </row>
    <row r="520" spans="1:10">
      <c r="A520">
        <v>519</v>
      </c>
      <c r="B520" t="s">
        <v>1587</v>
      </c>
      <c r="C520" t="s">
        <v>1588</v>
      </c>
      <c r="D520" t="s">
        <v>1589</v>
      </c>
      <c r="E520" s="41">
        <v>74.58</v>
      </c>
      <c r="F520" s="75">
        <v>2.0000000000000001E-4</v>
      </c>
      <c r="G520" t="s">
        <v>123</v>
      </c>
      <c r="H520" t="s">
        <v>123</v>
      </c>
      <c r="I520" s="41" t="s">
        <v>32</v>
      </c>
      <c r="J520" s="1"/>
    </row>
    <row r="521" spans="1:10">
      <c r="A521">
        <v>520</v>
      </c>
      <c r="B521" t="s">
        <v>1590</v>
      </c>
      <c r="C521" t="s">
        <v>1591</v>
      </c>
      <c r="D521" t="s">
        <v>1592</v>
      </c>
      <c r="E521" s="41">
        <v>85.73</v>
      </c>
      <c r="F521" s="75">
        <v>2.0000000000000001E-4</v>
      </c>
      <c r="G521" t="s">
        <v>123</v>
      </c>
      <c r="H521" t="s">
        <v>123</v>
      </c>
      <c r="I521" s="41" t="s">
        <v>32</v>
      </c>
      <c r="J521" s="1"/>
    </row>
    <row r="522" spans="1:10">
      <c r="A522">
        <v>521</v>
      </c>
      <c r="B522" t="s">
        <v>1593</v>
      </c>
      <c r="C522" t="s">
        <v>1594</v>
      </c>
      <c r="D522" t="s">
        <v>1595</v>
      </c>
      <c r="E522" s="41">
        <v>83.15</v>
      </c>
      <c r="F522" s="75">
        <v>2.0000000000000001E-4</v>
      </c>
      <c r="G522" t="s">
        <v>123</v>
      </c>
      <c r="H522" t="s">
        <v>123</v>
      </c>
      <c r="I522" s="41" t="s">
        <v>32</v>
      </c>
      <c r="J522" s="1"/>
    </row>
    <row r="523" spans="1:10">
      <c r="A523">
        <v>522</v>
      </c>
      <c r="B523" t="s">
        <v>1596</v>
      </c>
      <c r="C523" t="s">
        <v>1597</v>
      </c>
      <c r="D523" t="s">
        <v>1598</v>
      </c>
      <c r="E523" s="41">
        <v>71.12</v>
      </c>
      <c r="F523" s="75">
        <v>2.0000000000000001E-4</v>
      </c>
      <c r="G523" t="s">
        <v>89</v>
      </c>
      <c r="H523" t="s">
        <v>89</v>
      </c>
      <c r="I523" s="41" t="s">
        <v>32</v>
      </c>
      <c r="J523" s="1"/>
    </row>
    <row r="524" spans="1:10">
      <c r="A524">
        <v>523</v>
      </c>
      <c r="B524" t="s">
        <v>1599</v>
      </c>
      <c r="C524" t="s">
        <v>1600</v>
      </c>
      <c r="D524" t="s">
        <v>1601</v>
      </c>
      <c r="E524" s="41">
        <v>73.16</v>
      </c>
      <c r="F524" s="75">
        <v>2.0000000000000001E-4</v>
      </c>
      <c r="G524" t="s">
        <v>89</v>
      </c>
      <c r="H524" t="s">
        <v>89</v>
      </c>
      <c r="I524" s="41" t="s">
        <v>32</v>
      </c>
      <c r="J524" s="1"/>
    </row>
    <row r="525" spans="1:10">
      <c r="A525">
        <v>524</v>
      </c>
      <c r="B525" t="s">
        <v>1602</v>
      </c>
      <c r="C525" t="s">
        <v>1603</v>
      </c>
      <c r="D525" t="s">
        <v>1604</v>
      </c>
      <c r="E525" s="41">
        <v>53.44</v>
      </c>
      <c r="F525" s="75">
        <v>2.0000000000000001E-4</v>
      </c>
      <c r="G525" t="s">
        <v>89</v>
      </c>
      <c r="H525" t="s">
        <v>89</v>
      </c>
      <c r="I525" s="41" t="s">
        <v>32</v>
      </c>
      <c r="J525" s="1"/>
    </row>
    <row r="526" spans="1:10">
      <c r="A526">
        <v>525</v>
      </c>
      <c r="B526" t="s">
        <v>1605</v>
      </c>
      <c r="C526" t="s">
        <v>1606</v>
      </c>
      <c r="D526" t="s">
        <v>1607</v>
      </c>
      <c r="E526" s="41">
        <v>61.33</v>
      </c>
      <c r="F526" s="75">
        <v>2.0000000000000001E-4</v>
      </c>
      <c r="G526" t="s">
        <v>89</v>
      </c>
      <c r="H526" t="s">
        <v>89</v>
      </c>
      <c r="I526" s="41" t="s">
        <v>32</v>
      </c>
      <c r="J526" s="1"/>
    </row>
    <row r="527" spans="1:10">
      <c r="A527">
        <v>526</v>
      </c>
      <c r="B527" t="s">
        <v>1608</v>
      </c>
      <c r="C527" t="s">
        <v>1609</v>
      </c>
      <c r="D527" t="s">
        <v>1610</v>
      </c>
      <c r="E527" s="41">
        <v>76.61</v>
      </c>
      <c r="F527" s="75">
        <v>2.0000000000000001E-4</v>
      </c>
      <c r="G527" t="s">
        <v>89</v>
      </c>
      <c r="H527" t="s">
        <v>89</v>
      </c>
      <c r="I527" s="41" t="s">
        <v>32</v>
      </c>
      <c r="J527" s="1"/>
    </row>
    <row r="528" spans="1:10">
      <c r="A528">
        <v>527</v>
      </c>
      <c r="B528" t="s">
        <v>1611</v>
      </c>
      <c r="C528" t="s">
        <v>1612</v>
      </c>
      <c r="D528" t="s">
        <v>1613</v>
      </c>
      <c r="E528" s="41">
        <v>81.349999999999994</v>
      </c>
      <c r="F528" s="75">
        <v>2.0000000000000001E-4</v>
      </c>
      <c r="G528" t="s">
        <v>89</v>
      </c>
      <c r="H528" t="s">
        <v>89</v>
      </c>
      <c r="I528" s="41" t="s">
        <v>32</v>
      </c>
      <c r="J528" s="1"/>
    </row>
    <row r="529" spans="1:10">
      <c r="A529">
        <v>528</v>
      </c>
      <c r="B529" t="s">
        <v>1614</v>
      </c>
      <c r="C529" t="s">
        <v>1615</v>
      </c>
      <c r="D529" t="s">
        <v>1616</v>
      </c>
      <c r="E529" s="41">
        <v>76.08</v>
      </c>
      <c r="F529" s="75">
        <v>2.0000000000000001E-4</v>
      </c>
      <c r="G529" t="s">
        <v>89</v>
      </c>
      <c r="H529" t="s">
        <v>89</v>
      </c>
      <c r="I529" s="41" t="s">
        <v>32</v>
      </c>
      <c r="J529" s="1"/>
    </row>
    <row r="530" spans="1:10">
      <c r="A530">
        <v>529</v>
      </c>
      <c r="B530" t="s">
        <v>1617</v>
      </c>
      <c r="C530" t="s">
        <v>1618</v>
      </c>
      <c r="D530" t="s">
        <v>1619</v>
      </c>
      <c r="E530" s="41">
        <v>66.37</v>
      </c>
      <c r="F530" s="75">
        <v>2.0000000000000001E-4</v>
      </c>
      <c r="G530" t="s">
        <v>89</v>
      </c>
      <c r="H530" t="s">
        <v>89</v>
      </c>
      <c r="I530" s="41" t="s">
        <v>32</v>
      </c>
      <c r="J530" s="1"/>
    </row>
    <row r="531" spans="1:10">
      <c r="A531">
        <v>530</v>
      </c>
      <c r="B531" t="s">
        <v>1620</v>
      </c>
      <c r="C531" t="s">
        <v>1621</v>
      </c>
      <c r="D531" t="s">
        <v>1622</v>
      </c>
      <c r="E531" s="41">
        <v>69.400000000000006</v>
      </c>
      <c r="F531" s="75">
        <v>2.0000000000000001E-4</v>
      </c>
      <c r="G531" t="s">
        <v>89</v>
      </c>
      <c r="H531" t="s">
        <v>89</v>
      </c>
      <c r="I531" s="41" t="s">
        <v>32</v>
      </c>
      <c r="J531" s="1"/>
    </row>
    <row r="532" spans="1:10">
      <c r="A532">
        <v>531</v>
      </c>
      <c r="B532" t="s">
        <v>1623</v>
      </c>
      <c r="C532" t="s">
        <v>1624</v>
      </c>
      <c r="D532" t="s">
        <v>1625</v>
      </c>
      <c r="E532" s="41">
        <v>51.52</v>
      </c>
      <c r="F532" s="75">
        <v>2.0000000000000001E-4</v>
      </c>
      <c r="G532" t="s">
        <v>89</v>
      </c>
      <c r="H532" t="s">
        <v>89</v>
      </c>
      <c r="I532" s="41" t="s">
        <v>32</v>
      </c>
      <c r="J532" s="1"/>
    </row>
    <row r="533" spans="1:10">
      <c r="A533">
        <v>532</v>
      </c>
      <c r="B533" t="s">
        <v>1626</v>
      </c>
      <c r="C533" t="s">
        <v>1627</v>
      </c>
      <c r="D533" t="s">
        <v>1628</v>
      </c>
      <c r="E533" s="41">
        <v>78.61</v>
      </c>
      <c r="F533" s="75">
        <v>2.0000000000000001E-4</v>
      </c>
      <c r="G533" t="s">
        <v>89</v>
      </c>
      <c r="H533" t="s">
        <v>89</v>
      </c>
      <c r="I533" s="41" t="s">
        <v>32</v>
      </c>
      <c r="J533" s="1"/>
    </row>
    <row r="534" spans="1:10">
      <c r="A534">
        <v>533</v>
      </c>
      <c r="B534" t="s">
        <v>1629</v>
      </c>
      <c r="C534" t="s">
        <v>1630</v>
      </c>
      <c r="D534" t="s">
        <v>1631</v>
      </c>
      <c r="E534" s="41">
        <v>62.53</v>
      </c>
      <c r="F534" s="75">
        <v>2.0000000000000001E-4</v>
      </c>
      <c r="G534" t="s">
        <v>89</v>
      </c>
      <c r="H534" t="s">
        <v>89</v>
      </c>
      <c r="I534" s="41" t="s">
        <v>32</v>
      </c>
      <c r="J534" s="1"/>
    </row>
    <row r="535" spans="1:10">
      <c r="A535">
        <v>534</v>
      </c>
      <c r="B535" t="s">
        <v>1632</v>
      </c>
      <c r="C535" t="s">
        <v>1633</v>
      </c>
      <c r="D535" t="s">
        <v>1634</v>
      </c>
      <c r="E535" s="41">
        <v>74.349999999999994</v>
      </c>
      <c r="F535" s="75">
        <v>2.0000000000000001E-4</v>
      </c>
      <c r="G535" t="s">
        <v>89</v>
      </c>
      <c r="H535" t="s">
        <v>89</v>
      </c>
      <c r="I535" s="41" t="s">
        <v>32</v>
      </c>
      <c r="J535" s="1"/>
    </row>
    <row r="536" spans="1:10">
      <c r="A536">
        <v>535</v>
      </c>
      <c r="B536" t="s">
        <v>1635</v>
      </c>
      <c r="C536" t="s">
        <v>1636</v>
      </c>
      <c r="D536" t="s">
        <v>1637</v>
      </c>
      <c r="E536" s="41">
        <v>66.239999999999995</v>
      </c>
      <c r="F536" s="75">
        <v>2.0000000000000001E-4</v>
      </c>
      <c r="G536" t="s">
        <v>48</v>
      </c>
      <c r="H536" t="s">
        <v>71</v>
      </c>
      <c r="I536" s="41" t="s">
        <v>32</v>
      </c>
      <c r="J536" s="1"/>
    </row>
    <row r="537" spans="1:10">
      <c r="A537">
        <v>536</v>
      </c>
      <c r="B537" t="s">
        <v>1638</v>
      </c>
      <c r="C537" t="s">
        <v>1639</v>
      </c>
      <c r="D537" t="s">
        <v>1640</v>
      </c>
      <c r="E537" s="41">
        <v>54.92</v>
      </c>
      <c r="F537" s="75">
        <v>2.0000000000000001E-4</v>
      </c>
      <c r="G537" t="s">
        <v>48</v>
      </c>
      <c r="H537" t="s">
        <v>63</v>
      </c>
      <c r="I537" s="41" t="s">
        <v>32</v>
      </c>
      <c r="J537" s="1"/>
    </row>
    <row r="538" spans="1:10">
      <c r="A538">
        <v>537</v>
      </c>
      <c r="B538" t="s">
        <v>1641</v>
      </c>
      <c r="C538" t="s">
        <v>1642</v>
      </c>
      <c r="D538" t="s">
        <v>1643</v>
      </c>
      <c r="E538" s="41">
        <v>72.930000000000007</v>
      </c>
      <c r="F538" s="75">
        <v>2.0000000000000001E-4</v>
      </c>
      <c r="G538" t="s">
        <v>48</v>
      </c>
      <c r="H538" t="s">
        <v>63</v>
      </c>
      <c r="I538" s="41" t="s">
        <v>32</v>
      </c>
      <c r="J538" s="1"/>
    </row>
    <row r="539" spans="1:10">
      <c r="A539">
        <v>538</v>
      </c>
      <c r="B539" t="s">
        <v>1644</v>
      </c>
      <c r="C539" t="s">
        <v>1645</v>
      </c>
      <c r="D539" t="s">
        <v>1646</v>
      </c>
      <c r="E539" s="41">
        <v>70.41</v>
      </c>
      <c r="F539" s="75">
        <v>2.0000000000000001E-4</v>
      </c>
      <c r="G539" t="s">
        <v>48</v>
      </c>
      <c r="H539" t="s">
        <v>63</v>
      </c>
      <c r="I539" s="41" t="s">
        <v>32</v>
      </c>
      <c r="J539" s="1"/>
    </row>
    <row r="540" spans="1:10">
      <c r="A540">
        <v>539</v>
      </c>
      <c r="B540" t="s">
        <v>1647</v>
      </c>
      <c r="C540" t="s">
        <v>1648</v>
      </c>
      <c r="D540" t="s">
        <v>1649</v>
      </c>
      <c r="E540" s="41">
        <v>87.87</v>
      </c>
      <c r="F540" s="75">
        <v>2.0000000000000001E-4</v>
      </c>
      <c r="G540" t="s">
        <v>48</v>
      </c>
      <c r="H540" t="s">
        <v>63</v>
      </c>
      <c r="I540" s="41" t="s">
        <v>32</v>
      </c>
      <c r="J540" s="1"/>
    </row>
    <row r="541" spans="1:10">
      <c r="A541">
        <v>540</v>
      </c>
      <c r="B541" t="s">
        <v>1650</v>
      </c>
      <c r="C541" t="s">
        <v>1651</v>
      </c>
      <c r="D541" t="s">
        <v>1652</v>
      </c>
      <c r="E541" s="41">
        <v>41.56</v>
      </c>
      <c r="F541" s="75">
        <v>2.0000000000000001E-4</v>
      </c>
      <c r="G541" t="s">
        <v>48</v>
      </c>
      <c r="H541" t="s">
        <v>63</v>
      </c>
      <c r="I541" s="41" t="s">
        <v>32</v>
      </c>
      <c r="J541" s="1"/>
    </row>
    <row r="542" spans="1:10">
      <c r="A542">
        <v>541</v>
      </c>
      <c r="B542" t="s">
        <v>1653</v>
      </c>
      <c r="C542" t="s">
        <v>1654</v>
      </c>
      <c r="D542" t="s">
        <v>1655</v>
      </c>
      <c r="E542" s="41">
        <v>65.59</v>
      </c>
      <c r="F542" s="75">
        <v>2.0000000000000001E-4</v>
      </c>
      <c r="G542" t="s">
        <v>48</v>
      </c>
      <c r="H542" t="s">
        <v>71</v>
      </c>
      <c r="I542" s="41" t="s">
        <v>32</v>
      </c>
      <c r="J542" s="1"/>
    </row>
    <row r="543" spans="1:10">
      <c r="A543">
        <v>542</v>
      </c>
      <c r="B543" t="s">
        <v>1656</v>
      </c>
      <c r="C543" t="s">
        <v>1657</v>
      </c>
      <c r="D543" t="s">
        <v>1658</v>
      </c>
      <c r="E543" s="41">
        <v>61.45</v>
      </c>
      <c r="F543" s="75">
        <v>2.0000000000000001E-4</v>
      </c>
      <c r="G543" t="s">
        <v>48</v>
      </c>
      <c r="H543" t="s">
        <v>63</v>
      </c>
      <c r="I543" s="41" t="s">
        <v>32</v>
      </c>
      <c r="J543" s="1"/>
    </row>
    <row r="544" spans="1:10">
      <c r="A544">
        <v>543</v>
      </c>
      <c r="B544" t="s">
        <v>1659</v>
      </c>
      <c r="C544" t="s">
        <v>1660</v>
      </c>
      <c r="F544" s="75">
        <v>2.0000000000000001E-4</v>
      </c>
      <c r="G544" t="s">
        <v>48</v>
      </c>
      <c r="H544" t="s">
        <v>71</v>
      </c>
      <c r="I544" s="41" t="s">
        <v>1126</v>
      </c>
      <c r="J544" s="1"/>
    </row>
    <row r="545" spans="1:10">
      <c r="A545">
        <v>544</v>
      </c>
      <c r="B545" t="s">
        <v>1661</v>
      </c>
      <c r="C545" t="s">
        <v>1662</v>
      </c>
      <c r="D545" t="s">
        <v>1663</v>
      </c>
      <c r="E545" s="41">
        <v>69.52</v>
      </c>
      <c r="F545" s="75">
        <v>2.0000000000000001E-4</v>
      </c>
      <c r="G545" t="s">
        <v>48</v>
      </c>
      <c r="H545" t="s">
        <v>63</v>
      </c>
      <c r="I545" s="41" t="s">
        <v>32</v>
      </c>
      <c r="J545" s="1"/>
    </row>
    <row r="546" spans="1:10">
      <c r="A546">
        <v>545</v>
      </c>
      <c r="B546" t="s">
        <v>1664</v>
      </c>
      <c r="C546" t="s">
        <v>1665</v>
      </c>
      <c r="D546" t="s">
        <v>1666</v>
      </c>
      <c r="E546" s="41">
        <v>63.94</v>
      </c>
      <c r="F546" s="75">
        <v>2.0000000000000001E-4</v>
      </c>
      <c r="G546" t="s">
        <v>48</v>
      </c>
      <c r="H546" t="s">
        <v>63</v>
      </c>
      <c r="I546" s="41" t="s">
        <v>32</v>
      </c>
      <c r="J546" s="1"/>
    </row>
    <row r="547" spans="1:10">
      <c r="A547">
        <v>546</v>
      </c>
      <c r="B547" t="s">
        <v>1667</v>
      </c>
      <c r="C547" t="s">
        <v>1668</v>
      </c>
      <c r="D547" t="s">
        <v>1669</v>
      </c>
      <c r="E547" s="41">
        <v>54.88</v>
      </c>
      <c r="F547" s="75">
        <v>2.0000000000000001E-4</v>
      </c>
      <c r="G547" t="s">
        <v>48</v>
      </c>
      <c r="H547" t="s">
        <v>63</v>
      </c>
      <c r="I547" s="41" t="s">
        <v>32</v>
      </c>
      <c r="J547" s="1"/>
    </row>
    <row r="548" spans="1:10">
      <c r="A548">
        <v>547</v>
      </c>
      <c r="B548" t="s">
        <v>1670</v>
      </c>
      <c r="C548" t="s">
        <v>1671</v>
      </c>
      <c r="D548" t="s">
        <v>1672</v>
      </c>
      <c r="E548" s="41">
        <v>85.05</v>
      </c>
      <c r="F548" s="75">
        <v>2.0000000000000001E-4</v>
      </c>
      <c r="G548" t="s">
        <v>48</v>
      </c>
      <c r="H548" t="s">
        <v>71</v>
      </c>
      <c r="I548" s="41" t="s">
        <v>32</v>
      </c>
      <c r="J548" s="1"/>
    </row>
    <row r="549" spans="1:10">
      <c r="A549">
        <v>548</v>
      </c>
      <c r="B549" t="s">
        <v>1673</v>
      </c>
      <c r="C549" t="s">
        <v>1674</v>
      </c>
      <c r="F549" s="75">
        <v>2.0000000000000001E-4</v>
      </c>
      <c r="G549" t="s">
        <v>48</v>
      </c>
      <c r="H549" t="s">
        <v>71</v>
      </c>
      <c r="I549" s="41" t="s">
        <v>764</v>
      </c>
      <c r="J549" s="1"/>
    </row>
    <row r="550" spans="1:10">
      <c r="A550">
        <v>549</v>
      </c>
      <c r="B550" t="s">
        <v>1675</v>
      </c>
      <c r="C550" t="s">
        <v>1676</v>
      </c>
      <c r="D550" t="s">
        <v>1677</v>
      </c>
      <c r="E550" s="41">
        <v>55.65</v>
      </c>
      <c r="F550" s="75">
        <v>2.0000000000000001E-4</v>
      </c>
      <c r="G550" t="s">
        <v>48</v>
      </c>
      <c r="H550" t="s">
        <v>63</v>
      </c>
      <c r="I550" s="41" t="s">
        <v>32</v>
      </c>
      <c r="J550" s="1"/>
    </row>
    <row r="551" spans="1:10">
      <c r="A551">
        <v>550</v>
      </c>
      <c r="B551" t="s">
        <v>1678</v>
      </c>
      <c r="C551" t="s">
        <v>1679</v>
      </c>
      <c r="D551" t="s">
        <v>1680</v>
      </c>
      <c r="E551" s="41">
        <v>76.650000000000006</v>
      </c>
      <c r="F551" s="75">
        <v>2.0000000000000001E-4</v>
      </c>
      <c r="G551" t="s">
        <v>48</v>
      </c>
      <c r="H551" t="s">
        <v>63</v>
      </c>
      <c r="I551" s="41" t="s">
        <v>32</v>
      </c>
      <c r="J551" s="1"/>
    </row>
    <row r="552" spans="1:10">
      <c r="A552">
        <v>551</v>
      </c>
      <c r="B552" t="s">
        <v>1681</v>
      </c>
      <c r="C552" t="s">
        <v>1682</v>
      </c>
      <c r="D552" t="s">
        <v>1683</v>
      </c>
      <c r="E552" s="41">
        <v>66.760000000000005</v>
      </c>
      <c r="F552" s="75">
        <v>2.0000000000000001E-4</v>
      </c>
      <c r="G552" t="s">
        <v>48</v>
      </c>
      <c r="H552" t="s">
        <v>63</v>
      </c>
      <c r="I552" s="41" t="s">
        <v>32</v>
      </c>
      <c r="J552" s="1"/>
    </row>
    <row r="553" spans="1:10">
      <c r="A553">
        <v>552</v>
      </c>
      <c r="B553" t="s">
        <v>1684</v>
      </c>
      <c r="C553" t="s">
        <v>1685</v>
      </c>
      <c r="D553" t="s">
        <v>1686</v>
      </c>
      <c r="E553" s="41">
        <v>68.45</v>
      </c>
      <c r="F553" s="75">
        <v>2.0000000000000001E-4</v>
      </c>
      <c r="G553" t="s">
        <v>48</v>
      </c>
      <c r="H553" t="s">
        <v>71</v>
      </c>
      <c r="I553" s="41" t="s">
        <v>32</v>
      </c>
      <c r="J553" s="1"/>
    </row>
    <row r="554" spans="1:10">
      <c r="A554">
        <v>553</v>
      </c>
      <c r="B554" t="s">
        <v>1687</v>
      </c>
      <c r="C554" t="s">
        <v>1688</v>
      </c>
      <c r="D554" t="s">
        <v>1689</v>
      </c>
      <c r="E554" s="41">
        <v>62.76</v>
      </c>
      <c r="F554" s="75">
        <v>2.0000000000000001E-4</v>
      </c>
      <c r="G554" t="s">
        <v>48</v>
      </c>
      <c r="H554" t="s">
        <v>71</v>
      </c>
      <c r="I554" s="41" t="s">
        <v>32</v>
      </c>
      <c r="J554" s="1"/>
    </row>
    <row r="555" spans="1:10">
      <c r="A555">
        <v>554</v>
      </c>
      <c r="B555" t="s">
        <v>1690</v>
      </c>
      <c r="C555" t="s">
        <v>1691</v>
      </c>
      <c r="D555" t="s">
        <v>1692</v>
      </c>
      <c r="E555" s="41">
        <v>66.78</v>
      </c>
      <c r="F555" s="75">
        <v>2.0000000000000001E-4</v>
      </c>
      <c r="G555" t="s">
        <v>59</v>
      </c>
      <c r="H555" t="s">
        <v>59</v>
      </c>
      <c r="I555" s="41" t="s">
        <v>32</v>
      </c>
      <c r="J555" s="1"/>
    </row>
    <row r="556" spans="1:10">
      <c r="A556">
        <v>555</v>
      </c>
      <c r="B556" t="s">
        <v>1693</v>
      </c>
      <c r="C556" t="s">
        <v>1694</v>
      </c>
      <c r="D556" t="s">
        <v>1695</v>
      </c>
      <c r="E556" s="41">
        <v>66.55</v>
      </c>
      <c r="F556" s="75">
        <v>2.0000000000000001E-4</v>
      </c>
      <c r="G556" t="s">
        <v>59</v>
      </c>
      <c r="H556" t="s">
        <v>59</v>
      </c>
      <c r="I556" s="41" t="s">
        <v>32</v>
      </c>
      <c r="J556" s="1"/>
    </row>
    <row r="557" spans="1:10">
      <c r="A557">
        <v>556</v>
      </c>
      <c r="B557" t="s">
        <v>1696</v>
      </c>
      <c r="C557" t="s">
        <v>1697</v>
      </c>
      <c r="F557" s="75">
        <v>2.0000000000000001E-4</v>
      </c>
      <c r="G557" t="s">
        <v>59</v>
      </c>
      <c r="H557" t="s">
        <v>59</v>
      </c>
      <c r="I557" s="41" t="s">
        <v>764</v>
      </c>
      <c r="J557" s="1"/>
    </row>
    <row r="558" spans="1:10">
      <c r="A558">
        <v>557</v>
      </c>
      <c r="B558" t="s">
        <v>1698</v>
      </c>
      <c r="C558" t="s">
        <v>1699</v>
      </c>
      <c r="D558" t="s">
        <v>1700</v>
      </c>
      <c r="E558" s="41">
        <v>48.34</v>
      </c>
      <c r="F558" s="75">
        <v>2.0000000000000001E-4</v>
      </c>
      <c r="G558" t="s">
        <v>59</v>
      </c>
      <c r="H558" t="s">
        <v>59</v>
      </c>
      <c r="I558" s="41" t="s">
        <v>32</v>
      </c>
      <c r="J558" s="1"/>
    </row>
    <row r="559" spans="1:10">
      <c r="A559">
        <v>558</v>
      </c>
      <c r="B559" t="s">
        <v>1701</v>
      </c>
      <c r="C559" t="s">
        <v>1702</v>
      </c>
      <c r="D559" t="s">
        <v>1703</v>
      </c>
      <c r="E559" s="41">
        <v>67.849999999999994</v>
      </c>
      <c r="F559" s="75">
        <v>2.0000000000000001E-4</v>
      </c>
      <c r="G559" t="s">
        <v>59</v>
      </c>
      <c r="H559" t="s">
        <v>59</v>
      </c>
      <c r="I559" s="41" t="s">
        <v>32</v>
      </c>
      <c r="J559" s="1"/>
    </row>
    <row r="560" spans="1:10">
      <c r="A560">
        <v>559</v>
      </c>
      <c r="B560" t="s">
        <v>1704</v>
      </c>
      <c r="C560" t="s">
        <v>1705</v>
      </c>
      <c r="D560" t="s">
        <v>1706</v>
      </c>
      <c r="E560" s="41">
        <v>54.31</v>
      </c>
      <c r="F560" s="75">
        <v>2.0000000000000001E-4</v>
      </c>
      <c r="G560" t="s">
        <v>59</v>
      </c>
      <c r="H560" t="s">
        <v>59</v>
      </c>
      <c r="I560" s="41" t="s">
        <v>32</v>
      </c>
      <c r="J560" s="1"/>
    </row>
    <row r="561" spans="1:10">
      <c r="A561">
        <v>560</v>
      </c>
      <c r="B561" t="s">
        <v>1707</v>
      </c>
      <c r="C561" t="s">
        <v>1708</v>
      </c>
      <c r="D561" t="s">
        <v>1709</v>
      </c>
      <c r="E561" s="41">
        <v>67.73</v>
      </c>
      <c r="F561" s="75">
        <v>2.0000000000000001E-4</v>
      </c>
      <c r="G561" t="s">
        <v>59</v>
      </c>
      <c r="H561" t="s">
        <v>59</v>
      </c>
      <c r="I561" s="41" t="s">
        <v>32</v>
      </c>
      <c r="J561" s="1"/>
    </row>
    <row r="562" spans="1:10">
      <c r="A562">
        <v>561</v>
      </c>
      <c r="B562" t="s">
        <v>1710</v>
      </c>
      <c r="C562" t="s">
        <v>1711</v>
      </c>
      <c r="D562" t="s">
        <v>1712</v>
      </c>
      <c r="E562" s="41">
        <v>71.7</v>
      </c>
      <c r="F562" s="75">
        <v>2.0000000000000001E-4</v>
      </c>
      <c r="G562" t="s">
        <v>59</v>
      </c>
      <c r="H562" t="s">
        <v>59</v>
      </c>
      <c r="I562" s="41" t="s">
        <v>32</v>
      </c>
      <c r="J562" s="1"/>
    </row>
    <row r="563" spans="1:10">
      <c r="A563">
        <v>562</v>
      </c>
      <c r="B563" t="s">
        <v>1713</v>
      </c>
      <c r="C563" t="s">
        <v>1714</v>
      </c>
      <c r="D563" t="s">
        <v>1715</v>
      </c>
      <c r="E563" s="41">
        <v>79.510000000000005</v>
      </c>
      <c r="F563" s="75">
        <v>2.0000000000000001E-4</v>
      </c>
      <c r="G563" t="s">
        <v>34</v>
      </c>
      <c r="H563" t="s">
        <v>54</v>
      </c>
      <c r="I563" s="41" t="s">
        <v>32</v>
      </c>
      <c r="J563" s="1"/>
    </row>
    <row r="564" spans="1:10">
      <c r="A564">
        <v>563</v>
      </c>
      <c r="B564" t="s">
        <v>1716</v>
      </c>
      <c r="C564" t="s">
        <v>1717</v>
      </c>
      <c r="D564" t="s">
        <v>1718</v>
      </c>
      <c r="E564" s="41">
        <v>56.38</v>
      </c>
      <c r="F564" s="75">
        <v>2.0000000000000001E-4</v>
      </c>
      <c r="G564" t="s">
        <v>34</v>
      </c>
      <c r="H564" t="s">
        <v>54</v>
      </c>
      <c r="I564" s="41" t="s">
        <v>32</v>
      </c>
      <c r="J564" s="1"/>
    </row>
    <row r="565" spans="1:10">
      <c r="A565">
        <v>564</v>
      </c>
      <c r="B565" t="s">
        <v>1719</v>
      </c>
      <c r="C565" t="s">
        <v>1720</v>
      </c>
      <c r="F565" s="75">
        <v>2.0000000000000001E-4</v>
      </c>
      <c r="G565" t="s">
        <v>34</v>
      </c>
      <c r="H565" t="s">
        <v>33</v>
      </c>
      <c r="I565" s="41" t="s">
        <v>1126</v>
      </c>
      <c r="J565" s="1"/>
    </row>
    <row r="566" spans="1:10">
      <c r="A566">
        <v>565</v>
      </c>
      <c r="B566" t="s">
        <v>1721</v>
      </c>
      <c r="C566" t="s">
        <v>1722</v>
      </c>
      <c r="F566" s="75">
        <v>2.0000000000000001E-4</v>
      </c>
      <c r="G566" t="s">
        <v>34</v>
      </c>
      <c r="H566" t="s">
        <v>43</v>
      </c>
      <c r="I566" s="41" t="s">
        <v>1126</v>
      </c>
      <c r="J566" s="1"/>
    </row>
    <row r="567" spans="1:10">
      <c r="A567">
        <v>566</v>
      </c>
      <c r="B567" t="s">
        <v>1723</v>
      </c>
      <c r="C567" t="s">
        <v>1724</v>
      </c>
      <c r="D567" t="s">
        <v>1725</v>
      </c>
      <c r="E567" s="41">
        <v>71.81</v>
      </c>
      <c r="F567" s="75">
        <v>2.0000000000000001E-4</v>
      </c>
      <c r="G567" t="s">
        <v>34</v>
      </c>
      <c r="H567" t="s">
        <v>54</v>
      </c>
      <c r="I567" s="41" t="s">
        <v>32</v>
      </c>
      <c r="J567" s="1"/>
    </row>
    <row r="568" spans="1:10">
      <c r="A568">
        <v>567</v>
      </c>
      <c r="B568" t="s">
        <v>1726</v>
      </c>
      <c r="C568" t="s">
        <v>1727</v>
      </c>
      <c r="D568" t="s">
        <v>1728</v>
      </c>
      <c r="E568" s="41">
        <v>38.79</v>
      </c>
      <c r="F568" s="75">
        <v>2.0000000000000001E-4</v>
      </c>
      <c r="G568" t="s">
        <v>34</v>
      </c>
      <c r="H568" t="s">
        <v>54</v>
      </c>
      <c r="I568" s="41" t="s">
        <v>32</v>
      </c>
      <c r="J568" s="1"/>
    </row>
    <row r="569" spans="1:10">
      <c r="A569">
        <v>568</v>
      </c>
      <c r="B569" t="s">
        <v>1729</v>
      </c>
      <c r="C569" t="s">
        <v>1730</v>
      </c>
      <c r="D569" t="s">
        <v>1731</v>
      </c>
      <c r="E569" s="41">
        <v>34.549999999999997</v>
      </c>
      <c r="F569" s="75">
        <v>4.0000000000000002E-4</v>
      </c>
      <c r="G569" t="s">
        <v>34</v>
      </c>
      <c r="H569" t="s">
        <v>33</v>
      </c>
      <c r="I569" s="41" t="s">
        <v>32</v>
      </c>
      <c r="J569" s="1"/>
    </row>
    <row r="570" spans="1:10">
      <c r="A570">
        <v>569</v>
      </c>
      <c r="B570" t="s">
        <v>1732</v>
      </c>
      <c r="C570" t="s">
        <v>1733</v>
      </c>
      <c r="D570" t="s">
        <v>1734</v>
      </c>
      <c r="E570" s="41">
        <v>44.9</v>
      </c>
      <c r="F570" s="75">
        <v>2.0000000000000001E-4</v>
      </c>
      <c r="G570" t="s">
        <v>34</v>
      </c>
      <c r="H570" t="s">
        <v>54</v>
      </c>
      <c r="I570" s="41" t="s">
        <v>32</v>
      </c>
      <c r="J570" s="1"/>
    </row>
    <row r="571" spans="1:10">
      <c r="A571">
        <v>570</v>
      </c>
      <c r="B571" t="s">
        <v>1735</v>
      </c>
      <c r="C571" t="s">
        <v>1736</v>
      </c>
      <c r="D571" t="s">
        <v>1737</v>
      </c>
      <c r="E571" s="41">
        <v>62.95</v>
      </c>
      <c r="F571" s="75">
        <v>2.0000000000000001E-4</v>
      </c>
      <c r="G571" t="s">
        <v>34</v>
      </c>
      <c r="H571" t="s">
        <v>54</v>
      </c>
      <c r="I571" s="41" t="s">
        <v>32</v>
      </c>
      <c r="J571" s="1"/>
    </row>
    <row r="572" spans="1:10">
      <c r="A572">
        <v>571</v>
      </c>
      <c r="B572" t="s">
        <v>1738</v>
      </c>
      <c r="C572" t="s">
        <v>1739</v>
      </c>
      <c r="F572" s="75">
        <v>2.0000000000000001E-4</v>
      </c>
      <c r="G572" t="s">
        <v>98</v>
      </c>
      <c r="H572" t="s">
        <v>101</v>
      </c>
      <c r="I572" s="41" t="s">
        <v>102</v>
      </c>
      <c r="J572" s="1"/>
    </row>
    <row r="573" spans="1:10">
      <c r="A573">
        <v>572</v>
      </c>
      <c r="B573" t="s">
        <v>1740</v>
      </c>
      <c r="C573" t="s">
        <v>1741</v>
      </c>
      <c r="F573" s="75">
        <v>2.0000000000000001E-4</v>
      </c>
      <c r="G573" t="s">
        <v>98</v>
      </c>
      <c r="H573" t="s">
        <v>101</v>
      </c>
      <c r="I573" s="41" t="s">
        <v>1126</v>
      </c>
      <c r="J573" s="1"/>
    </row>
    <row r="574" spans="1:10">
      <c r="A574">
        <v>573</v>
      </c>
      <c r="B574" t="s">
        <v>1742</v>
      </c>
      <c r="C574" t="s">
        <v>1743</v>
      </c>
      <c r="D574" s="26" t="s">
        <v>1744</v>
      </c>
      <c r="E574" s="73">
        <v>64.31</v>
      </c>
      <c r="F574" s="75">
        <v>2.0000000000000001E-4</v>
      </c>
      <c r="G574" t="s">
        <v>98</v>
      </c>
      <c r="H574" t="s">
        <v>101</v>
      </c>
      <c r="I574" s="41" t="s">
        <v>102</v>
      </c>
      <c r="J574" s="1"/>
    </row>
    <row r="575" spans="1:10">
      <c r="A575">
        <v>574</v>
      </c>
      <c r="B575" t="s">
        <v>1745</v>
      </c>
      <c r="C575" t="s">
        <v>1746</v>
      </c>
      <c r="D575" s="26" t="s">
        <v>1747</v>
      </c>
      <c r="E575" s="73">
        <v>59.86</v>
      </c>
      <c r="F575" s="75">
        <v>2.0000000000000001E-4</v>
      </c>
      <c r="G575" t="s">
        <v>98</v>
      </c>
      <c r="H575" t="s">
        <v>101</v>
      </c>
      <c r="I575" s="41" t="s">
        <v>102</v>
      </c>
      <c r="J575" s="1"/>
    </row>
    <row r="576" spans="1:10">
      <c r="A576">
        <v>575</v>
      </c>
      <c r="B576" t="s">
        <v>1748</v>
      </c>
      <c r="C576" t="s">
        <v>1749</v>
      </c>
      <c r="D576" t="s">
        <v>1750</v>
      </c>
      <c r="E576" s="41">
        <v>61.83</v>
      </c>
      <c r="F576" s="75">
        <v>2.0000000000000001E-4</v>
      </c>
      <c r="G576" t="s">
        <v>52</v>
      </c>
      <c r="H576" t="s">
        <v>53</v>
      </c>
      <c r="I576" s="41" t="s">
        <v>32</v>
      </c>
      <c r="J576" s="1"/>
    </row>
    <row r="577" spans="1:10">
      <c r="A577">
        <v>576</v>
      </c>
      <c r="B577" t="s">
        <v>1751</v>
      </c>
      <c r="C577" t="s">
        <v>1752</v>
      </c>
      <c r="D577" t="s">
        <v>1753</v>
      </c>
      <c r="E577" s="41">
        <v>59.98</v>
      </c>
      <c r="F577" s="75">
        <v>2.0000000000000001E-4</v>
      </c>
      <c r="G577" t="s">
        <v>52</v>
      </c>
      <c r="H577" t="s">
        <v>53</v>
      </c>
      <c r="I577" s="41" t="s">
        <v>32</v>
      </c>
      <c r="J577" s="1"/>
    </row>
    <row r="578" spans="1:10">
      <c r="A578">
        <v>577</v>
      </c>
      <c r="B578" t="s">
        <v>1754</v>
      </c>
      <c r="C578" t="s">
        <v>1755</v>
      </c>
      <c r="D578" t="s">
        <v>1756</v>
      </c>
      <c r="E578" s="41">
        <v>50.23</v>
      </c>
      <c r="F578" s="75">
        <v>2.0000000000000001E-4</v>
      </c>
      <c r="G578" t="s">
        <v>52</v>
      </c>
      <c r="H578" t="s">
        <v>93</v>
      </c>
      <c r="I578" s="41" t="s">
        <v>32</v>
      </c>
      <c r="J578" s="1"/>
    </row>
    <row r="579" spans="1:10">
      <c r="A579">
        <v>578</v>
      </c>
      <c r="B579" t="s">
        <v>1757</v>
      </c>
      <c r="C579" t="s">
        <v>1758</v>
      </c>
      <c r="F579" s="75">
        <v>2.0000000000000001E-4</v>
      </c>
      <c r="G579" t="s">
        <v>52</v>
      </c>
      <c r="H579" t="s">
        <v>53</v>
      </c>
      <c r="I579" s="41" t="s">
        <v>764</v>
      </c>
      <c r="J579" s="1"/>
    </row>
    <row r="580" spans="1:10">
      <c r="A580">
        <v>579</v>
      </c>
      <c r="B580" t="s">
        <v>1759</v>
      </c>
      <c r="C580" t="s">
        <v>1760</v>
      </c>
      <c r="D580" t="s">
        <v>1761</v>
      </c>
      <c r="E580" s="41">
        <v>55.35</v>
      </c>
      <c r="F580" s="75">
        <v>2.0000000000000001E-4</v>
      </c>
      <c r="G580" t="s">
        <v>52</v>
      </c>
      <c r="H580" t="s">
        <v>93</v>
      </c>
      <c r="I580" s="41" t="s">
        <v>32</v>
      </c>
      <c r="J580" s="1"/>
    </row>
    <row r="581" spans="1:10">
      <c r="A581">
        <v>580</v>
      </c>
      <c r="B581" t="s">
        <v>1762</v>
      </c>
      <c r="C581" t="s">
        <v>1763</v>
      </c>
      <c r="D581" t="s">
        <v>1764</v>
      </c>
      <c r="E581" s="41">
        <v>74.03</v>
      </c>
      <c r="F581" s="75">
        <v>2.0000000000000001E-4</v>
      </c>
      <c r="G581" t="s">
        <v>52</v>
      </c>
      <c r="H581" t="s">
        <v>93</v>
      </c>
      <c r="I581" s="41" t="s">
        <v>32</v>
      </c>
      <c r="J581" s="1"/>
    </row>
    <row r="582" spans="1:10">
      <c r="A582">
        <v>581</v>
      </c>
      <c r="B582" t="s">
        <v>1765</v>
      </c>
      <c r="C582" t="s">
        <v>1766</v>
      </c>
      <c r="D582" t="s">
        <v>1767</v>
      </c>
      <c r="E582" s="41">
        <v>58.07</v>
      </c>
      <c r="F582" s="75">
        <v>2.0000000000000001E-4</v>
      </c>
      <c r="G582" t="s">
        <v>52</v>
      </c>
      <c r="H582" t="s">
        <v>53</v>
      </c>
      <c r="I582" s="41" t="s">
        <v>32</v>
      </c>
      <c r="J582" s="1"/>
    </row>
    <row r="583" spans="1:10">
      <c r="A583">
        <v>582</v>
      </c>
      <c r="B583" t="s">
        <v>1768</v>
      </c>
      <c r="C583" t="s">
        <v>1769</v>
      </c>
      <c r="D583" t="s">
        <v>1770</v>
      </c>
      <c r="E583" s="41">
        <v>59.9</v>
      </c>
      <c r="F583" s="75">
        <v>2.0000000000000001E-4</v>
      </c>
      <c r="G583" t="s">
        <v>52</v>
      </c>
      <c r="H583" t="s">
        <v>53</v>
      </c>
      <c r="I583" s="41" t="s">
        <v>32</v>
      </c>
      <c r="J583" s="1"/>
    </row>
    <row r="584" spans="1:10">
      <c r="A584">
        <v>583</v>
      </c>
      <c r="B584" t="s">
        <v>1771</v>
      </c>
      <c r="C584" t="s">
        <v>1772</v>
      </c>
      <c r="D584" t="s">
        <v>1773</v>
      </c>
      <c r="E584" s="41">
        <v>70.44</v>
      </c>
      <c r="F584" s="75">
        <v>2.0000000000000001E-4</v>
      </c>
      <c r="G584" t="s">
        <v>52</v>
      </c>
      <c r="H584" t="s">
        <v>93</v>
      </c>
      <c r="I584" s="41" t="s">
        <v>32</v>
      </c>
      <c r="J584" s="1"/>
    </row>
    <row r="585" spans="1:10">
      <c r="A585">
        <v>584</v>
      </c>
      <c r="B585" t="s">
        <v>1774</v>
      </c>
      <c r="C585" t="s">
        <v>1775</v>
      </c>
      <c r="D585" t="s">
        <v>1776</v>
      </c>
      <c r="E585" s="41">
        <v>50.29</v>
      </c>
      <c r="F585" s="75">
        <v>2.0000000000000001E-4</v>
      </c>
      <c r="G585" t="s">
        <v>75</v>
      </c>
      <c r="H585" t="s">
        <v>103</v>
      </c>
      <c r="I585" s="41" t="s">
        <v>32</v>
      </c>
      <c r="J585" s="1"/>
    </row>
    <row r="586" spans="1:10">
      <c r="A586">
        <v>585</v>
      </c>
      <c r="B586" t="s">
        <v>1777</v>
      </c>
      <c r="C586" t="s">
        <v>1778</v>
      </c>
      <c r="D586" t="s">
        <v>1779</v>
      </c>
      <c r="E586" s="41">
        <v>75.27</v>
      </c>
      <c r="F586" s="75">
        <v>2.0000000000000001E-4</v>
      </c>
      <c r="G586" t="s">
        <v>75</v>
      </c>
      <c r="H586" t="s">
        <v>103</v>
      </c>
      <c r="I586" s="41" t="s">
        <v>32</v>
      </c>
      <c r="J586" s="1"/>
    </row>
    <row r="587" spans="1:10">
      <c r="A587">
        <v>586</v>
      </c>
      <c r="B587" t="s">
        <v>1780</v>
      </c>
      <c r="C587" t="s">
        <v>1781</v>
      </c>
      <c r="D587" t="s">
        <v>1782</v>
      </c>
      <c r="E587" s="41">
        <v>60.36</v>
      </c>
      <c r="F587" s="75">
        <v>2.0000000000000001E-4</v>
      </c>
      <c r="G587" t="s">
        <v>75</v>
      </c>
      <c r="H587" t="s">
        <v>103</v>
      </c>
      <c r="I587" s="41" t="s">
        <v>32</v>
      </c>
      <c r="J587" s="1"/>
    </row>
    <row r="588" spans="1:10">
      <c r="A588">
        <v>587</v>
      </c>
      <c r="B588" t="s">
        <v>1783</v>
      </c>
      <c r="C588" t="s">
        <v>1784</v>
      </c>
      <c r="D588" t="s">
        <v>1785</v>
      </c>
      <c r="E588" s="41">
        <v>81.2</v>
      </c>
      <c r="F588" s="75">
        <v>2.0000000000000001E-4</v>
      </c>
      <c r="G588" t="s">
        <v>75</v>
      </c>
      <c r="H588" t="s">
        <v>103</v>
      </c>
      <c r="I588" s="41" t="s">
        <v>32</v>
      </c>
      <c r="J588" s="1"/>
    </row>
    <row r="589" spans="1:10">
      <c r="A589">
        <v>588</v>
      </c>
      <c r="B589" t="s">
        <v>1786</v>
      </c>
      <c r="C589" t="s">
        <v>1787</v>
      </c>
      <c r="D589" t="s">
        <v>1788</v>
      </c>
      <c r="E589" s="41">
        <v>88.54</v>
      </c>
      <c r="F589" s="75">
        <v>2.0000000000000001E-4</v>
      </c>
      <c r="G589" t="s">
        <v>75</v>
      </c>
      <c r="H589" t="s">
        <v>103</v>
      </c>
      <c r="I589" s="41" t="s">
        <v>32</v>
      </c>
      <c r="J589" s="1"/>
    </row>
    <row r="590" spans="1:10">
      <c r="A590">
        <v>589</v>
      </c>
      <c r="B590" t="s">
        <v>1789</v>
      </c>
      <c r="C590" t="s">
        <v>1790</v>
      </c>
      <c r="D590" t="s">
        <v>1791</v>
      </c>
      <c r="E590" s="41">
        <v>33.39</v>
      </c>
      <c r="F590" s="75">
        <v>2.0000000000000001E-4</v>
      </c>
      <c r="G590" t="s">
        <v>75</v>
      </c>
      <c r="H590" t="s">
        <v>111</v>
      </c>
      <c r="I590" s="41" t="s">
        <v>32</v>
      </c>
      <c r="J590" s="1"/>
    </row>
    <row r="591" spans="1:10">
      <c r="A591">
        <v>590</v>
      </c>
      <c r="B591" t="s">
        <v>1792</v>
      </c>
      <c r="C591" t="s">
        <v>1793</v>
      </c>
      <c r="D591" t="s">
        <v>1794</v>
      </c>
      <c r="E591" s="41">
        <v>56.35</v>
      </c>
      <c r="F591" s="75">
        <v>2.0000000000000001E-4</v>
      </c>
      <c r="G591" t="s">
        <v>75</v>
      </c>
      <c r="H591" t="s">
        <v>111</v>
      </c>
      <c r="I591" s="41" t="s">
        <v>32</v>
      </c>
      <c r="J591" s="1"/>
    </row>
    <row r="592" spans="1:10">
      <c r="A592">
        <v>591</v>
      </c>
      <c r="B592" t="s">
        <v>1795</v>
      </c>
      <c r="C592" t="s">
        <v>1796</v>
      </c>
      <c r="D592" t="s">
        <v>1797</v>
      </c>
      <c r="E592" s="41">
        <v>73.19</v>
      </c>
      <c r="F592" s="75">
        <v>2.0000000000000001E-4</v>
      </c>
      <c r="G592" t="s">
        <v>75</v>
      </c>
      <c r="H592" t="s">
        <v>103</v>
      </c>
      <c r="I592" s="41" t="s">
        <v>32</v>
      </c>
      <c r="J592" s="1"/>
    </row>
    <row r="593" spans="1:10">
      <c r="A593">
        <v>592</v>
      </c>
      <c r="B593" t="s">
        <v>1798</v>
      </c>
      <c r="C593" t="s">
        <v>1799</v>
      </c>
      <c r="D593" t="s">
        <v>1800</v>
      </c>
      <c r="E593" s="41">
        <v>81.010000000000005</v>
      </c>
      <c r="F593" s="75">
        <v>2.0000000000000001E-4</v>
      </c>
      <c r="G593" t="s">
        <v>75</v>
      </c>
      <c r="H593" t="s">
        <v>119</v>
      </c>
      <c r="I593" s="41" t="s">
        <v>32</v>
      </c>
      <c r="J593" s="1"/>
    </row>
    <row r="594" spans="1:10">
      <c r="A594">
        <v>593</v>
      </c>
      <c r="B594" t="s">
        <v>1801</v>
      </c>
      <c r="C594" t="s">
        <v>1802</v>
      </c>
      <c r="D594" t="s">
        <v>1803</v>
      </c>
      <c r="E594" s="41">
        <v>54.87</v>
      </c>
      <c r="F594" s="75">
        <v>1E-4</v>
      </c>
      <c r="G594" t="s">
        <v>30</v>
      </c>
      <c r="H594" t="s">
        <v>42</v>
      </c>
      <c r="I594" s="41" t="s">
        <v>32</v>
      </c>
      <c r="J594" s="1"/>
    </row>
    <row r="595" spans="1:10">
      <c r="A595">
        <v>594</v>
      </c>
      <c r="B595" t="s">
        <v>1804</v>
      </c>
      <c r="C595" t="s">
        <v>1805</v>
      </c>
      <c r="D595" t="s">
        <v>1806</v>
      </c>
      <c r="E595" s="41">
        <v>71.150000000000006</v>
      </c>
      <c r="F595" s="75">
        <v>1E-4</v>
      </c>
      <c r="G595" t="s">
        <v>48</v>
      </c>
      <c r="H595" t="s">
        <v>63</v>
      </c>
      <c r="I595" s="41" t="s">
        <v>32</v>
      </c>
      <c r="J595" s="1"/>
    </row>
    <row r="596" spans="1:10">
      <c r="A596">
        <v>595</v>
      </c>
      <c r="B596" t="s">
        <v>1807</v>
      </c>
      <c r="C596" t="s">
        <v>1808</v>
      </c>
      <c r="D596" t="s">
        <v>1809</v>
      </c>
      <c r="E596" s="41">
        <v>84.13</v>
      </c>
      <c r="F596" s="75">
        <v>1E-4</v>
      </c>
      <c r="G596" t="s">
        <v>59</v>
      </c>
      <c r="H596" t="s">
        <v>59</v>
      </c>
      <c r="I596" s="41" t="s">
        <v>32</v>
      </c>
      <c r="J596" s="1"/>
    </row>
    <row r="597" spans="1:10">
      <c r="A597">
        <v>596</v>
      </c>
      <c r="B597" t="s">
        <v>1810</v>
      </c>
      <c r="C597" t="s">
        <v>1811</v>
      </c>
      <c r="D597" t="s">
        <v>1812</v>
      </c>
      <c r="E597" s="41">
        <v>38.18</v>
      </c>
      <c r="F597" s="75">
        <v>1E-4</v>
      </c>
      <c r="G597" t="s">
        <v>59</v>
      </c>
      <c r="H597" t="s">
        <v>59</v>
      </c>
      <c r="I597" s="41" t="s">
        <v>32</v>
      </c>
      <c r="J597" s="1"/>
    </row>
    <row r="598" spans="1:10">
      <c r="A598">
        <v>597</v>
      </c>
      <c r="B598" t="s">
        <v>1813</v>
      </c>
      <c r="C598" t="s">
        <v>1814</v>
      </c>
      <c r="D598" t="s">
        <v>1815</v>
      </c>
      <c r="E598" s="41">
        <v>63.78</v>
      </c>
      <c r="F598" s="75">
        <v>1E-4</v>
      </c>
      <c r="G598" t="s">
        <v>34</v>
      </c>
      <c r="H598" t="s">
        <v>54</v>
      </c>
      <c r="I598" s="41" t="s">
        <v>32</v>
      </c>
      <c r="J598" s="1"/>
    </row>
    <row r="599" spans="1:10">
      <c r="A599">
        <v>598</v>
      </c>
      <c r="B599" t="s">
        <v>1816</v>
      </c>
      <c r="C599" t="s">
        <v>1817</v>
      </c>
      <c r="D599" t="s">
        <v>1818</v>
      </c>
      <c r="E599" s="41">
        <v>68.239999999999995</v>
      </c>
      <c r="F599" s="75">
        <v>1E-4</v>
      </c>
      <c r="G599" t="s">
        <v>98</v>
      </c>
      <c r="H599" t="s">
        <v>101</v>
      </c>
      <c r="I599" s="41" t="s">
        <v>102</v>
      </c>
      <c r="J599" s="1"/>
    </row>
    <row r="600" spans="1:10">
      <c r="A600">
        <v>599</v>
      </c>
      <c r="B600" t="s">
        <v>1819</v>
      </c>
      <c r="C600" t="s">
        <v>1820</v>
      </c>
      <c r="D600" t="s">
        <v>1821</v>
      </c>
      <c r="E600" s="41">
        <v>70.25</v>
      </c>
      <c r="F600" s="75">
        <v>1E-4</v>
      </c>
      <c r="G600" t="s">
        <v>75</v>
      </c>
      <c r="H600" t="s">
        <v>119</v>
      </c>
      <c r="I600" s="41" t="s">
        <v>32</v>
      </c>
      <c r="J600" s="1"/>
    </row>
    <row r="601" spans="1:10">
      <c r="A601">
        <v>600</v>
      </c>
      <c r="B601" t="s">
        <v>1822</v>
      </c>
      <c r="C601" t="s">
        <v>1823</v>
      </c>
      <c r="D601" t="s">
        <v>1824</v>
      </c>
      <c r="E601" s="41">
        <v>83.89</v>
      </c>
      <c r="F601" s="75">
        <v>1E-4</v>
      </c>
      <c r="G601" t="s">
        <v>75</v>
      </c>
      <c r="H601" t="s">
        <v>103</v>
      </c>
      <c r="I601" s="41" t="s">
        <v>32</v>
      </c>
      <c r="J601" s="1"/>
    </row>
  </sheetData>
  <autoFilter ref="B1:T601" xr:uid="{00000000-0009-0000-0000-000000000000}">
    <sortState xmlns:xlrd2="http://schemas.microsoft.com/office/spreadsheetml/2017/richdata2" ref="B2:T601">
      <sortCondition descending="1" ref="F1:F601"/>
    </sortState>
  </autoFilter>
  <dataValidations count="1">
    <dataValidation type="list" allowBlank="1" showInputMessage="1" showErrorMessage="1" sqref="I2:I601" xr:uid="{843F83EE-9DF4-4B16-BEE9-F43AF0D5FE07}">
      <formula1>"Yes,No,No Data,No Selection"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3EB60-CC82-40D6-8426-91D137267D39}">
  <sheetPr>
    <tabColor theme="8" tint="0.79998168889431442"/>
  </sheetPr>
  <dimension ref="A1:BE72"/>
  <sheetViews>
    <sheetView tabSelected="1" topLeftCell="A10" workbookViewId="0">
      <selection activeCell="T25" sqref="T25"/>
    </sheetView>
  </sheetViews>
  <sheetFormatPr defaultRowHeight="15"/>
  <cols>
    <col min="2" max="2" width="22.42578125" customWidth="1"/>
    <col min="3" max="3" width="17.28515625" customWidth="1"/>
    <col min="4" max="4" width="9.28515625" bestFit="1" customWidth="1"/>
    <col min="5" max="5" width="18.85546875" customWidth="1"/>
  </cols>
  <sheetData>
    <row r="1" spans="1:57">
      <c r="C1" s="175">
        <v>44197</v>
      </c>
      <c r="D1" s="175">
        <v>44228</v>
      </c>
      <c r="E1" s="175">
        <v>44256</v>
      </c>
      <c r="F1" s="175">
        <v>44287</v>
      </c>
      <c r="G1" s="175">
        <v>44317</v>
      </c>
      <c r="H1" s="175">
        <v>44348</v>
      </c>
      <c r="I1" s="175">
        <v>44378</v>
      </c>
      <c r="J1" s="175">
        <v>44409</v>
      </c>
      <c r="K1" s="175">
        <v>44440</v>
      </c>
      <c r="L1" s="175">
        <v>44470</v>
      </c>
      <c r="M1" s="175">
        <v>44501</v>
      </c>
      <c r="N1" s="175">
        <v>44531</v>
      </c>
      <c r="O1" s="175">
        <v>44562</v>
      </c>
      <c r="P1" s="175">
        <v>44593</v>
      </c>
      <c r="Q1" s="175">
        <v>44621</v>
      </c>
      <c r="R1" s="175">
        <v>44652</v>
      </c>
      <c r="S1" s="175">
        <v>44682</v>
      </c>
      <c r="T1" s="175">
        <v>44713</v>
      </c>
      <c r="U1" s="175">
        <v>44743</v>
      </c>
      <c r="V1" s="175">
        <v>44774</v>
      </c>
      <c r="W1" s="175">
        <v>44805</v>
      </c>
      <c r="X1" s="175">
        <v>44835</v>
      </c>
      <c r="Y1" s="175">
        <v>44866</v>
      </c>
      <c r="Z1" s="175">
        <v>44896</v>
      </c>
      <c r="AA1" s="176">
        <v>44927</v>
      </c>
      <c r="AB1" s="176">
        <v>44958</v>
      </c>
      <c r="AC1" s="176">
        <v>44986</v>
      </c>
      <c r="AD1" s="176">
        <v>45017</v>
      </c>
      <c r="AE1" s="176">
        <v>45047</v>
      </c>
      <c r="AF1" s="176">
        <v>45078</v>
      </c>
      <c r="AG1" s="176">
        <v>45108</v>
      </c>
      <c r="AH1" s="176">
        <v>45139</v>
      </c>
      <c r="AI1" s="176">
        <v>45170</v>
      </c>
      <c r="AJ1" s="176">
        <v>45200</v>
      </c>
      <c r="AK1" s="176">
        <v>45231</v>
      </c>
      <c r="AL1" s="176">
        <v>45261</v>
      </c>
      <c r="AM1" s="176">
        <v>45292</v>
      </c>
      <c r="AN1" s="176">
        <v>45323</v>
      </c>
      <c r="AO1" s="176">
        <v>45352</v>
      </c>
      <c r="AP1" s="176">
        <v>45383</v>
      </c>
      <c r="AQ1" s="176">
        <v>45413</v>
      </c>
      <c r="AR1" s="176">
        <v>45444</v>
      </c>
      <c r="AS1" s="176">
        <v>45474</v>
      </c>
      <c r="AT1" s="176">
        <v>45505</v>
      </c>
      <c r="AU1" s="176">
        <v>45536</v>
      </c>
      <c r="AV1" s="176">
        <v>45566</v>
      </c>
      <c r="AW1" s="176">
        <v>45597</v>
      </c>
      <c r="AX1" s="176">
        <v>45627</v>
      </c>
      <c r="AY1" s="176">
        <v>45658</v>
      </c>
      <c r="AZ1" s="176">
        <v>45689</v>
      </c>
      <c r="BA1" s="176">
        <v>45717</v>
      </c>
      <c r="BB1" s="176">
        <v>45748</v>
      </c>
      <c r="BC1" s="176">
        <v>45778</v>
      </c>
      <c r="BD1" s="176">
        <v>45809</v>
      </c>
    </row>
    <row r="2" spans="1:57">
      <c r="A2" s="173"/>
      <c r="B2" s="173" t="s">
        <v>2064</v>
      </c>
      <c r="C2" s="173">
        <v>-1.1138500359857048E-2</v>
      </c>
      <c r="D2" s="173">
        <v>4.0666454245117542E-2</v>
      </c>
      <c r="E2" s="173">
        <v>6.7753487103957302E-2</v>
      </c>
      <c r="F2" s="173">
        <v>1.7063514820520598E-2</v>
      </c>
      <c r="G2" s="173">
        <v>3.1130445534759923E-2</v>
      </c>
      <c r="H2" s="173">
        <v>1.5626707666814801E-2</v>
      </c>
      <c r="I2" s="173">
        <v>1.3017183684100269E-2</v>
      </c>
      <c r="J2" s="173">
        <v>2.6327784208046802E-2</v>
      </c>
      <c r="K2" s="173">
        <v>-2.3015983848646688E-2</v>
      </c>
      <c r="L2" s="173">
        <v>4.5220431143292689E-2</v>
      </c>
      <c r="M2" s="173">
        <v>-3.9072635336053867E-2</v>
      </c>
      <c r="N2" s="173">
        <v>6.1042074675255131E-2</v>
      </c>
      <c r="O2" s="173">
        <v>-8.5370812536690027E-3</v>
      </c>
      <c r="P2" s="173">
        <v>-3.5643665976271145E-2</v>
      </c>
      <c r="Q2" s="173">
        <v>1.5235091170590126E-2</v>
      </c>
      <c r="R2" s="173">
        <v>8.5584691089227276E-3</v>
      </c>
      <c r="S2" s="173">
        <v>-1.0930672029838055E-2</v>
      </c>
      <c r="T2" s="173">
        <v>-7.9129564510232772E-2</v>
      </c>
      <c r="U2" s="173">
        <v>6.149272816465471E-2</v>
      </c>
      <c r="V2" s="173">
        <v>-5.1050686942226253E-2</v>
      </c>
      <c r="W2" s="173">
        <v>-5.2232537091284906E-2</v>
      </c>
      <c r="X2" s="173">
        <v>7.4309711067956266E-2</v>
      </c>
      <c r="Y2" s="173">
        <v>7.751242005754945E-2</v>
      </c>
      <c r="Z2" s="173">
        <v>-3.3694032274164627E-2</v>
      </c>
      <c r="AA2" s="173">
        <v>9.0541570665171475E-2</v>
      </c>
      <c r="AB2" s="173">
        <v>1.7753309039267667E-2</v>
      </c>
      <c r="AC2" s="173">
        <v>4.159259926088274E-3</v>
      </c>
      <c r="AD2" s="173">
        <v>2.7647761239081685E-2</v>
      </c>
      <c r="AE2" s="173">
        <v>-1.1945886227406423E-2</v>
      </c>
      <c r="AF2" s="173">
        <v>3.160958469229274E-2</v>
      </c>
      <c r="AG2" s="173">
        <v>2.0722572436511853E-2</v>
      </c>
      <c r="AH2" s="173">
        <v>-1.8992388726915884E-2</v>
      </c>
      <c r="AI2" s="173">
        <v>-1.4739227089785104E-2</v>
      </c>
      <c r="AJ2" s="173">
        <v>-3.8991361039113243E-2</v>
      </c>
      <c r="AK2" s="173">
        <v>8.7807537749343204E-2</v>
      </c>
      <c r="AL2" s="173">
        <v>4.3767273488220175E-2</v>
      </c>
      <c r="AM2" s="173">
        <v>1.7181683497243139E-2</v>
      </c>
      <c r="AN2" s="173">
        <v>3.4588418062677768E-2</v>
      </c>
      <c r="AO2" s="173">
        <v>5.5135343836078231E-2</v>
      </c>
      <c r="AP2" s="173">
        <v>-2.1948626348020682E-3</v>
      </c>
      <c r="AQ2" s="173">
        <v>4.5078505324244261E-2</v>
      </c>
      <c r="AR2" s="173">
        <v>-1.1612880888066196E-2</v>
      </c>
      <c r="AS2" s="173">
        <v>2.8000604210409799E-2</v>
      </c>
      <c r="AT2" s="173">
        <v>2.7118727158425872E-2</v>
      </c>
      <c r="AU2" s="173">
        <v>-1.0900124787194558E-4</v>
      </c>
      <c r="AV2" s="173">
        <v>-2.2285314730438363E-2</v>
      </c>
      <c r="AW2" s="173">
        <v>1.8202994074288045E-2</v>
      </c>
      <c r="AX2" s="173">
        <v>2.46962770484361E-3</v>
      </c>
      <c r="AY2" s="173">
        <v>7.6282442676424908E-2</v>
      </c>
      <c r="AZ2" s="173">
        <v>5.0152418035752273E-2</v>
      </c>
      <c r="BA2" s="173">
        <v>-2.2493403969532193E-2</v>
      </c>
      <c r="BB2" s="173">
        <v>7.6352855229589048E-3</v>
      </c>
      <c r="BC2" s="173">
        <v>4.6754752588458841E-2</v>
      </c>
      <c r="BD2" s="173">
        <v>-2.7096547391304321E-2</v>
      </c>
      <c r="BE2" s="173">
        <v>-2.9908992502183852E-2</v>
      </c>
    </row>
    <row r="3" spans="1:57" s="70" customFormat="1">
      <c r="A3" s="174"/>
      <c r="B3" s="174" t="s">
        <v>2065</v>
      </c>
      <c r="C3" s="174">
        <v>-1.1000000000000001E-2</v>
      </c>
      <c r="D3" s="174">
        <v>2.3099999999999999E-2</v>
      </c>
      <c r="E3" s="174">
        <v>6.08E-2</v>
      </c>
      <c r="F3" s="174">
        <v>1.8100000000000002E-2</v>
      </c>
      <c r="G3" s="174">
        <v>2.1400000000000002E-2</v>
      </c>
      <c r="H3" s="174">
        <v>1.3600000000000001E-2</v>
      </c>
      <c r="I3" s="174">
        <v>1.9699999999999999E-2</v>
      </c>
      <c r="J3" s="174">
        <v>1.9799999999999998E-2</v>
      </c>
      <c r="K3" s="174">
        <v>-3.4099999999999998E-2</v>
      </c>
      <c r="L3" s="174">
        <v>4.5499999999999999E-2</v>
      </c>
      <c r="M3" s="174">
        <v>-2.64E-2</v>
      </c>
      <c r="N3" s="174">
        <v>5.5599999999999997E-2</v>
      </c>
      <c r="O3" s="174">
        <v>-4.0599999999999997E-2</v>
      </c>
      <c r="P3" s="174">
        <v>-3.3599999999999998E-2</v>
      </c>
      <c r="Q3" s="174">
        <v>6.0999999999999995E-3</v>
      </c>
      <c r="R3" s="174">
        <v>-1.2E-2</v>
      </c>
      <c r="S3" s="174">
        <v>-1.5600000000000001E-2</v>
      </c>
      <c r="T3" s="174">
        <v>-8.1500000000000003E-2</v>
      </c>
      <c r="U3" s="174">
        <v>7.6399999999999996E-2</v>
      </c>
      <c r="V3" s="174">
        <v>-5.2900000000000003E-2</v>
      </c>
      <c r="W3" s="174">
        <v>-6.5700000000000008E-2</v>
      </c>
      <c r="X3" s="174">
        <v>6.2800000000000009E-2</v>
      </c>
      <c r="Y3" s="174">
        <v>6.7500000000000004E-2</v>
      </c>
      <c r="Z3" s="174">
        <v>-3.44E-2</v>
      </c>
      <c r="AA3" s="174">
        <v>6.6699999999999995E-2</v>
      </c>
      <c r="AB3" s="174">
        <v>1.7399999999999999E-2</v>
      </c>
      <c r="AC3" s="174">
        <v>-7.0999999999999995E-3</v>
      </c>
      <c r="AD3" s="174">
        <v>1.9199999999999998E-2</v>
      </c>
      <c r="AE3" s="174">
        <v>-3.1899999999999998E-2</v>
      </c>
      <c r="AF3" s="174">
        <v>2.2499999999999999E-2</v>
      </c>
      <c r="AG3" s="174">
        <v>2.0400000000000001E-2</v>
      </c>
      <c r="AH3" s="174">
        <v>-2.7900000000000001E-2</v>
      </c>
      <c r="AI3" s="174">
        <v>-1.7399999999999999E-2</v>
      </c>
      <c r="AJ3" s="174">
        <v>-3.6799999999999999E-2</v>
      </c>
      <c r="AK3" s="174">
        <v>6.4500000000000002E-2</v>
      </c>
      <c r="AL3" s="174">
        <v>3.7699999999999997E-2</v>
      </c>
      <c r="AM3" s="174">
        <v>1.3899999999999999E-2</v>
      </c>
      <c r="AN3" s="174">
        <v>1.84E-2</v>
      </c>
      <c r="AO3" s="174">
        <v>3.6499999999999998E-2</v>
      </c>
      <c r="AP3" s="174">
        <v>-1.52E-2</v>
      </c>
      <c r="AQ3" s="174">
        <v>2.63E-2</v>
      </c>
      <c r="AR3" s="174">
        <v>-1.3000000000000001E-2</v>
      </c>
      <c r="AS3" s="174">
        <v>1.32E-2</v>
      </c>
      <c r="AT3" s="174">
        <v>1.3300000000000001E-2</v>
      </c>
      <c r="AU3" s="174">
        <v>-4.0999999999999995E-3</v>
      </c>
      <c r="AV3" s="174">
        <v>-3.3500000000000002E-2</v>
      </c>
      <c r="AW3" s="174">
        <v>9.5999999999999992E-3</v>
      </c>
      <c r="AX3" s="174">
        <v>-1.06E-2</v>
      </c>
      <c r="AY3" s="174">
        <v>6.8699999999999997E-2</v>
      </c>
      <c r="AZ3" s="174">
        <v>3.27E-2</v>
      </c>
      <c r="BA3" s="174">
        <v>-4.1799999999999997E-2</v>
      </c>
      <c r="BB3" s="174">
        <v>-1.21E-2</v>
      </c>
      <c r="BC3" s="174">
        <v>4.0199999999999993E-2</v>
      </c>
      <c r="BD3" s="174">
        <v>-1.3300000000000001E-2</v>
      </c>
      <c r="BE3" s="174">
        <v>-1.3300000000000001E-2</v>
      </c>
    </row>
    <row r="22" spans="2:5" s="156" customFormat="1" ht="5.25" customHeight="1"/>
    <row r="24" spans="2:5">
      <c r="B24" s="177" t="s">
        <v>16</v>
      </c>
      <c r="C24" s="177" t="s">
        <v>2005</v>
      </c>
      <c r="D24" s="177" t="s">
        <v>2007</v>
      </c>
      <c r="E24" s="177" t="s">
        <v>19</v>
      </c>
    </row>
    <row r="25" spans="2:5">
      <c r="B25" s="115" t="s">
        <v>36</v>
      </c>
      <c r="C25" s="180">
        <v>3.5588065061597618E-2</v>
      </c>
      <c r="D25" s="179">
        <v>2.8531159587722531E-2</v>
      </c>
      <c r="E25" s="180">
        <v>6.3E-3</v>
      </c>
    </row>
    <row r="26" spans="2:5">
      <c r="B26" s="115" t="s">
        <v>45</v>
      </c>
      <c r="C26" s="180">
        <v>2.7732144022799332E-2</v>
      </c>
      <c r="D26" s="178">
        <v>3.5712979632447864E-2</v>
      </c>
      <c r="E26" s="180">
        <v>7.4000000000000003E-3</v>
      </c>
    </row>
    <row r="27" spans="2:5">
      <c r="B27" s="115" t="s">
        <v>56</v>
      </c>
      <c r="C27" s="180">
        <v>4.1876618486555106E-2</v>
      </c>
      <c r="D27" s="178">
        <v>3.4956234832192123E-2</v>
      </c>
      <c r="E27" s="180">
        <v>6.6E-3</v>
      </c>
    </row>
    <row r="28" spans="2:5">
      <c r="B28" s="115" t="s">
        <v>65</v>
      </c>
      <c r="C28" s="180">
        <v>1.9789249000787379E-2</v>
      </c>
      <c r="D28" s="178">
        <v>2.437623754215127E-2</v>
      </c>
      <c r="E28" s="180">
        <v>4.5999999999999999E-3</v>
      </c>
    </row>
    <row r="29" spans="2:5">
      <c r="B29" s="115" t="s">
        <v>73</v>
      </c>
      <c r="C29" s="180">
        <v>2.0866244566487557E-2</v>
      </c>
      <c r="D29" s="178">
        <v>2.4288726549736465E-2</v>
      </c>
      <c r="E29" s="180">
        <v>4.5999999999999999E-3</v>
      </c>
    </row>
    <row r="30" spans="2:5">
      <c r="B30" s="115" t="s">
        <v>80</v>
      </c>
      <c r="C30" s="180">
        <v>2.453741286530331E-2</v>
      </c>
      <c r="D30" s="178">
        <v>2.0030777670482409E-2</v>
      </c>
      <c r="E30" s="180">
        <v>4.0000000000000001E-3</v>
      </c>
    </row>
    <row r="31" spans="2:5">
      <c r="B31" s="115" t="s">
        <v>86</v>
      </c>
      <c r="C31" s="180">
        <v>2.0736035148757326E-2</v>
      </c>
      <c r="D31" s="178">
        <v>2.1371262102989147E-2</v>
      </c>
      <c r="E31" s="180">
        <v>1.2500000000000001E-2</v>
      </c>
    </row>
    <row r="32" spans="2:5">
      <c r="B32" s="115" t="s">
        <v>95</v>
      </c>
      <c r="C32" s="180">
        <v>1.3585860987140208E-2</v>
      </c>
      <c r="D32" s="178">
        <v>8.7212204681007856E-3</v>
      </c>
      <c r="E32" s="180">
        <v>8.0999999999999996E-3</v>
      </c>
    </row>
    <row r="33" spans="2:5">
      <c r="B33" s="115" t="s">
        <v>105</v>
      </c>
      <c r="C33" s="180">
        <v>1.5964138075933665E-2</v>
      </c>
      <c r="D33" s="178">
        <v>8.4357143219418885E-3</v>
      </c>
      <c r="E33" s="180">
        <v>7.1999999999999998E-3</v>
      </c>
    </row>
    <row r="34" spans="2:5">
      <c r="B34" s="115" t="s">
        <v>113</v>
      </c>
      <c r="C34" s="180">
        <v>8.1131292222951235E-3</v>
      </c>
      <c r="D34" s="178">
        <v>4.9247001045056634E-3</v>
      </c>
      <c r="E34" s="180">
        <v>4.1000000000000003E-3</v>
      </c>
    </row>
    <row r="35" spans="2:5">
      <c r="B35" s="115" t="s">
        <v>121</v>
      </c>
      <c r="C35" s="180">
        <v>7.6421098673431498E-3</v>
      </c>
      <c r="D35" s="178">
        <v>6.0050828021323355E-3</v>
      </c>
      <c r="E35" s="180">
        <v>3.3999999999999998E-3</v>
      </c>
    </row>
    <row r="36" spans="2:5">
      <c r="B36" s="115" t="s">
        <v>125</v>
      </c>
      <c r="C36" s="180">
        <v>2.4123586697385901E-2</v>
      </c>
      <c r="D36" s="178">
        <v>2.3222378960820342E-2</v>
      </c>
      <c r="E36" s="180">
        <v>7.9000000000000008E-3</v>
      </c>
    </row>
    <row r="37" spans="2:5">
      <c r="B37" s="115" t="s">
        <v>131</v>
      </c>
      <c r="C37" s="180">
        <v>5.2553617033479494E-3</v>
      </c>
      <c r="D37" s="178">
        <v>8.4888298776929823E-3</v>
      </c>
      <c r="E37" s="180">
        <v>6.1000000000000004E-3</v>
      </c>
    </row>
    <row r="38" spans="2:5">
      <c r="B38" s="115" t="s">
        <v>137</v>
      </c>
      <c r="C38" s="180">
        <v>1.0115979027640165E-2</v>
      </c>
      <c r="D38" s="178">
        <v>6.5030073017206718E-3</v>
      </c>
      <c r="E38" s="180">
        <v>4.7999999999999996E-3</v>
      </c>
    </row>
    <row r="39" spans="2:5">
      <c r="B39" s="115" t="s">
        <v>142</v>
      </c>
      <c r="C39" s="180">
        <v>5.0412432616739888E-3</v>
      </c>
      <c r="D39" s="178">
        <v>1.3935257914634762E-2</v>
      </c>
      <c r="E39" s="180">
        <v>3.7000000000000002E-3</v>
      </c>
    </row>
    <row r="40" spans="2:5">
      <c r="B40" s="115" t="s">
        <v>109</v>
      </c>
      <c r="C40" s="180">
        <v>3.4871477637751669E-2</v>
      </c>
      <c r="D40" s="178">
        <v>5.6718390370678815E-2</v>
      </c>
      <c r="E40" s="180">
        <v>1.43E-2</v>
      </c>
    </row>
    <row r="41" spans="2:5">
      <c r="B41" s="115" t="s">
        <v>134</v>
      </c>
      <c r="C41" s="180">
        <v>2.8264430440877897E-2</v>
      </c>
      <c r="D41" s="178">
        <v>4.3971619349631182E-2</v>
      </c>
      <c r="E41" s="180">
        <v>1.0999999999999999E-2</v>
      </c>
    </row>
    <row r="42" spans="2:5">
      <c r="B42" s="115" t="s">
        <v>156</v>
      </c>
      <c r="C42" s="180">
        <v>2.1084065300776222E-2</v>
      </c>
      <c r="D42" s="178">
        <v>2.3929613614593597E-2</v>
      </c>
      <c r="E42" s="180">
        <v>6.8999999999999999E-3</v>
      </c>
    </row>
    <row r="43" spans="2:5">
      <c r="B43" s="115" t="s">
        <v>160</v>
      </c>
      <c r="C43" s="180">
        <v>9.2553059552897388E-2</v>
      </c>
      <c r="D43" s="178">
        <v>6.584361556734088E-3</v>
      </c>
      <c r="E43" s="180">
        <v>6.7000000000000002E-3</v>
      </c>
    </row>
    <row r="44" spans="2:5">
      <c r="B44" s="115" t="s">
        <v>165</v>
      </c>
      <c r="C44" s="180">
        <v>6.9977224283304107E-3</v>
      </c>
      <c r="D44" s="178">
        <v>1.4645380434741716E-2</v>
      </c>
      <c r="E44" s="180">
        <v>3.3999999999999998E-3</v>
      </c>
    </row>
    <row r="45" spans="2:5">
      <c r="B45" s="115" t="s">
        <v>173</v>
      </c>
      <c r="C45" s="180">
        <v>4.2312840288281084E-3</v>
      </c>
      <c r="D45" s="178">
        <v>8.8992034176345568E-3</v>
      </c>
      <c r="E45" s="180">
        <v>2.3999999999999998E-3</v>
      </c>
    </row>
    <row r="46" spans="2:5">
      <c r="B46" s="115" t="s">
        <v>179</v>
      </c>
      <c r="C46" s="180">
        <v>3.0685018585256962E-2</v>
      </c>
      <c r="D46" s="178">
        <v>2.3115001851477936E-2</v>
      </c>
      <c r="E46" s="180">
        <v>8.0000000000000002E-3</v>
      </c>
    </row>
    <row r="47" spans="2:5">
      <c r="B47" s="115" t="s">
        <v>185</v>
      </c>
      <c r="C47" s="180">
        <v>1.6475076000147304E-2</v>
      </c>
      <c r="D47" s="178">
        <v>2.3568567499567733E-2</v>
      </c>
      <c r="E47" s="180">
        <v>6.6E-3</v>
      </c>
    </row>
    <row r="48" spans="2:5">
      <c r="B48" s="115" t="s">
        <v>188</v>
      </c>
      <c r="C48" s="180">
        <v>5.9784903646247223E-3</v>
      </c>
      <c r="D48" s="178">
        <v>7.1094753202187271E-3</v>
      </c>
      <c r="E48" s="180">
        <v>1.9E-3</v>
      </c>
    </row>
    <row r="49" spans="2:5">
      <c r="B49" s="115" t="s">
        <v>61</v>
      </c>
      <c r="C49" s="180">
        <v>9.3917381658508159E-3</v>
      </c>
      <c r="D49" s="178">
        <v>1.9283322741186611E-2</v>
      </c>
      <c r="E49" s="180">
        <v>1.7299999999999999E-2</v>
      </c>
    </row>
    <row r="50" spans="2:5">
      <c r="B50" s="115" t="s">
        <v>83</v>
      </c>
      <c r="C50" s="180">
        <v>2.4357054449007709E-2</v>
      </c>
      <c r="D50" s="178">
        <v>2.6998359583775534E-2</v>
      </c>
      <c r="E50" s="180">
        <v>1.67E-2</v>
      </c>
    </row>
    <row r="51" spans="2:5">
      <c r="B51" s="115" t="s">
        <v>150</v>
      </c>
      <c r="C51" s="180">
        <v>7.350639815514981E-3</v>
      </c>
      <c r="D51" s="178">
        <v>1.6691001268357517E-2</v>
      </c>
      <c r="E51" s="180">
        <v>9.7000000000000003E-3</v>
      </c>
    </row>
    <row r="52" spans="2:5">
      <c r="B52" s="115" t="s">
        <v>195</v>
      </c>
      <c r="C52" s="180">
        <v>6.3633074480284879E-3</v>
      </c>
      <c r="D52" s="178">
        <v>1.2899233402177824E-2</v>
      </c>
      <c r="E52" s="180">
        <v>6.3E-3</v>
      </c>
    </row>
    <row r="53" spans="2:5">
      <c r="B53" s="115" t="s">
        <v>50</v>
      </c>
      <c r="C53" s="180">
        <v>2.802444856123687E-3</v>
      </c>
      <c r="D53" s="178">
        <v>3.192717143108427E-2</v>
      </c>
      <c r="E53" s="180">
        <v>2.1899999999999999E-2</v>
      </c>
    </row>
    <row r="54" spans="2:5">
      <c r="B54" s="115" t="s">
        <v>117</v>
      </c>
      <c r="C54" s="180">
        <v>5.9651813797145792E-3</v>
      </c>
      <c r="D54" s="178">
        <v>1.2730229612941764E-2</v>
      </c>
      <c r="E54" s="180">
        <v>1.2699999999999999E-2</v>
      </c>
    </row>
    <row r="55" spans="2:5">
      <c r="B55" s="115" t="s">
        <v>182</v>
      </c>
      <c r="C55" s="180">
        <v>5.3945146006699751E-3</v>
      </c>
      <c r="D55" s="178">
        <v>1.7819508974344353E-2</v>
      </c>
      <c r="E55" s="180">
        <v>8.2000000000000007E-3</v>
      </c>
    </row>
    <row r="56" spans="2:5">
      <c r="B56" s="115" t="s">
        <v>204</v>
      </c>
      <c r="C56" s="180">
        <v>3.7943849014685505E-3</v>
      </c>
      <c r="D56" s="178">
        <v>3.2004418282225036E-3</v>
      </c>
      <c r="E56" s="180">
        <v>4.1999999999999997E-3</v>
      </c>
    </row>
    <row r="57" spans="2:5">
      <c r="B57" s="115" t="s">
        <v>207</v>
      </c>
      <c r="C57" s="180">
        <v>7.2792493394155944E-3</v>
      </c>
      <c r="D57" s="178">
        <v>5.7287183580234493E-3</v>
      </c>
      <c r="E57" s="180">
        <v>3.0000000000000001E-3</v>
      </c>
    </row>
    <row r="58" spans="2:5">
      <c r="B58" s="115" t="s">
        <v>213</v>
      </c>
      <c r="C58" s="180">
        <v>-6.0210528153801235E-3</v>
      </c>
      <c r="D58" s="178">
        <v>3.5435886705424476E-2</v>
      </c>
      <c r="E58" s="180">
        <v>3.3E-3</v>
      </c>
    </row>
    <row r="59" spans="2:5">
      <c r="B59" s="115" t="s">
        <v>216</v>
      </c>
      <c r="C59" s="180">
        <v>1.399191970841418E-2</v>
      </c>
      <c r="D59" s="178">
        <v>3.4130993547506566E-2</v>
      </c>
      <c r="E59" s="180">
        <v>3.3E-3</v>
      </c>
    </row>
    <row r="60" spans="2:5">
      <c r="B60" s="115" t="s">
        <v>222</v>
      </c>
      <c r="C60" s="180">
        <v>1.2654255523583124E-2</v>
      </c>
      <c r="D60" s="178">
        <v>1.6744257377235467E-2</v>
      </c>
      <c r="E60" s="180">
        <v>4.5999999999999999E-3</v>
      </c>
    </row>
    <row r="61" spans="2:5">
      <c r="B61" s="115" t="s">
        <v>225</v>
      </c>
      <c r="C61" s="180">
        <v>2.3310210767160111E-3</v>
      </c>
      <c r="D61" s="178">
        <v>7.7338262927711555E-3</v>
      </c>
      <c r="E61" s="180">
        <v>2.7000000000000001E-3</v>
      </c>
    </row>
    <row r="62" spans="2:5">
      <c r="B62" s="115" t="s">
        <v>40</v>
      </c>
      <c r="C62" s="180">
        <v>2.6757546944961019E-2</v>
      </c>
      <c r="D62" s="178">
        <v>5.4774060991768132E-2</v>
      </c>
      <c r="E62" s="180">
        <v>2.1999999999999999E-2</v>
      </c>
    </row>
    <row r="63" spans="2:5">
      <c r="B63" s="115" t="s">
        <v>233</v>
      </c>
      <c r="C63" s="180">
        <v>1.7230488546708944E-3</v>
      </c>
      <c r="D63" s="178">
        <v>9.8744198402935524E-3</v>
      </c>
      <c r="E63" s="180">
        <v>3.5999999999999999E-3</v>
      </c>
    </row>
    <row r="64" spans="2:5">
      <c r="B64" s="115" t="s">
        <v>28</v>
      </c>
      <c r="C64" s="180">
        <v>4.0241814874333537E-2</v>
      </c>
      <c r="D64" s="178">
        <v>4.1704572870546415E-2</v>
      </c>
      <c r="E64" s="180">
        <v>2.3699999999999999E-2</v>
      </c>
    </row>
    <row r="65" spans="2:5">
      <c r="B65" s="115" t="s">
        <v>238</v>
      </c>
      <c r="C65" s="180">
        <v>4.3212346059779305E-2</v>
      </c>
      <c r="D65" s="178">
        <v>5.9809644177399264E-2</v>
      </c>
      <c r="E65" s="180">
        <v>4.4000000000000003E-3</v>
      </c>
    </row>
    <row r="66" spans="2:5">
      <c r="B66" s="115" t="s">
        <v>244</v>
      </c>
      <c r="C66" s="180">
        <v>-1.0141023126303161E-2</v>
      </c>
      <c r="D66" s="178">
        <v>3.0764156087263E-2</v>
      </c>
      <c r="E66" s="180">
        <v>3.3999999999999998E-3</v>
      </c>
    </row>
    <row r="67" spans="2:5">
      <c r="B67" s="115" t="s">
        <v>247</v>
      </c>
      <c r="C67" s="180">
        <v>-1.0261889580597261E-3</v>
      </c>
      <c r="D67" s="178">
        <v>1.7983779761746972E-3</v>
      </c>
      <c r="E67" s="180">
        <v>1.1999999999999999E-3</v>
      </c>
    </row>
    <row r="68" spans="2:5">
      <c r="B68" s="115" t="s">
        <v>176</v>
      </c>
      <c r="C68" s="180">
        <v>1.4508874479721934E-2</v>
      </c>
      <c r="D68" s="178">
        <v>1.9690973427135508E-2</v>
      </c>
      <c r="E68" s="180">
        <v>8.2000000000000007E-3</v>
      </c>
    </row>
    <row r="69" spans="2:5">
      <c r="B69" s="115" t="s">
        <v>257</v>
      </c>
      <c r="C69" s="180">
        <v>5.2623203687092168E-3</v>
      </c>
      <c r="D69" s="178">
        <v>1.6462592360524431E-2</v>
      </c>
      <c r="E69" s="180">
        <v>5.4000000000000003E-3</v>
      </c>
    </row>
    <row r="70" spans="2:5">
      <c r="B70" s="115" t="s">
        <v>145</v>
      </c>
      <c r="C70" s="180">
        <v>2.4415979293503254E-2</v>
      </c>
      <c r="D70" s="178">
        <v>1.5277724120702938E-2</v>
      </c>
      <c r="E70" s="180">
        <v>1.04E-2</v>
      </c>
    </row>
    <row r="71" spans="2:5">
      <c r="B71" s="115" t="s">
        <v>262</v>
      </c>
      <c r="C71" s="180">
        <v>2.022930746140772E-2</v>
      </c>
      <c r="D71" s="178">
        <v>1.8614040921055376E-2</v>
      </c>
      <c r="E71" s="180">
        <v>1.9E-3</v>
      </c>
    </row>
    <row r="72" spans="2:5">
      <c r="B72" s="115" t="s">
        <v>265</v>
      </c>
      <c r="C72" s="180">
        <v>-1.3743423611047856E-3</v>
      </c>
      <c r="D72" s="178">
        <v>2.0504577211759654E-2</v>
      </c>
      <c r="E72" s="180">
        <v>1.9E-3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0FFB2-3C6A-4AF3-98A7-EE166550A2FF}">
  <sheetPr>
    <tabColor theme="3" tint="0.749992370372631"/>
  </sheetPr>
  <dimension ref="A1:R22"/>
  <sheetViews>
    <sheetView workbookViewId="0">
      <selection activeCell="F1" sqref="D1:F1"/>
    </sheetView>
  </sheetViews>
  <sheetFormatPr defaultRowHeight="15"/>
  <cols>
    <col min="1" max="1" width="22.7109375" bestFit="1" customWidth="1"/>
    <col min="2" max="2" width="31" bestFit="1" customWidth="1"/>
    <col min="4" max="4" width="30.85546875" bestFit="1" customWidth="1"/>
    <col min="5" max="5" width="22.28515625" bestFit="1" customWidth="1"/>
    <col min="6" max="6" width="17.28515625" style="24" customWidth="1"/>
    <col min="7" max="7" width="20.140625" customWidth="1"/>
    <col min="9" max="9" width="30.85546875" bestFit="1" customWidth="1"/>
    <col min="10" max="10" width="22.28515625" bestFit="1" customWidth="1"/>
    <col min="13" max="13" width="22.28515625" style="24" customWidth="1"/>
    <col min="15" max="15" width="30.85546875" bestFit="1" customWidth="1"/>
    <col min="16" max="16" width="22.28515625" bestFit="1" customWidth="1"/>
    <col min="17" max="17" width="22.7109375" style="24" customWidth="1"/>
    <col min="18" max="18" width="19.42578125" customWidth="1"/>
  </cols>
  <sheetData>
    <row r="1" spans="1:18" ht="29.25">
      <c r="A1" s="76" t="s">
        <v>1825</v>
      </c>
      <c r="B1" s="76" t="s">
        <v>1826</v>
      </c>
      <c r="D1" s="76" t="s">
        <v>6</v>
      </c>
      <c r="E1" s="76" t="s">
        <v>5</v>
      </c>
      <c r="F1" s="76" t="s">
        <v>8</v>
      </c>
      <c r="G1" s="76" t="s">
        <v>9</v>
      </c>
      <c r="I1" s="97" t="s">
        <v>6</v>
      </c>
      <c r="J1" s="97" t="s">
        <v>5</v>
      </c>
      <c r="K1" s="97" t="s">
        <v>8</v>
      </c>
      <c r="L1" s="97" t="s">
        <v>9</v>
      </c>
      <c r="M1" s="103" t="s">
        <v>10</v>
      </c>
      <c r="O1" s="76" t="s">
        <v>6</v>
      </c>
      <c r="P1" s="76" t="s">
        <v>5</v>
      </c>
      <c r="Q1" s="95" t="s">
        <v>11</v>
      </c>
      <c r="R1" s="95" t="s">
        <v>12</v>
      </c>
    </row>
    <row r="2" spans="1:18">
      <c r="A2" t="s">
        <v>1827</v>
      </c>
      <c r="B2" t="s">
        <v>1828</v>
      </c>
      <c r="D2" s="99" t="s">
        <v>33</v>
      </c>
      <c r="E2" s="99" t="s">
        <v>34</v>
      </c>
      <c r="F2" s="100">
        <v>0.11929999999999999</v>
      </c>
      <c r="G2" s="99">
        <v>49</v>
      </c>
      <c r="I2" t="s">
        <v>33</v>
      </c>
      <c r="J2" t="s">
        <v>34</v>
      </c>
      <c r="K2" s="24">
        <v>0.11929999999999999</v>
      </c>
      <c r="L2">
        <v>49</v>
      </c>
      <c r="M2" s="24">
        <v>0.13319191693647423</v>
      </c>
      <c r="O2" s="99" t="s">
        <v>33</v>
      </c>
      <c r="P2" s="99" t="s">
        <v>34</v>
      </c>
      <c r="Q2" s="100">
        <v>4.1000000000000003E-3</v>
      </c>
      <c r="R2" s="99">
        <v>83.65</v>
      </c>
    </row>
    <row r="3" spans="1:18">
      <c r="A3" t="s">
        <v>1827</v>
      </c>
      <c r="B3" t="s">
        <v>1829</v>
      </c>
      <c r="D3" t="s">
        <v>43</v>
      </c>
      <c r="E3" t="s">
        <v>34</v>
      </c>
      <c r="F3" s="24">
        <v>6.5299999999999997E-2</v>
      </c>
      <c r="G3">
        <v>31</v>
      </c>
      <c r="I3" t="s">
        <v>43</v>
      </c>
      <c r="J3" t="s">
        <v>34</v>
      </c>
      <c r="K3" s="24">
        <v>6.5299999999999997E-2</v>
      </c>
      <c r="L3">
        <v>31</v>
      </c>
      <c r="M3" s="24">
        <v>7.2903874064977101E-2</v>
      </c>
      <c r="O3" t="s">
        <v>43</v>
      </c>
      <c r="P3" t="s">
        <v>34</v>
      </c>
      <c r="Q3" s="24">
        <v>2.9600000000000017E-3</v>
      </c>
      <c r="R3">
        <v>82.11</v>
      </c>
    </row>
    <row r="4" spans="1:18">
      <c r="A4" t="s">
        <v>1827</v>
      </c>
      <c r="B4" t="s">
        <v>1830</v>
      </c>
      <c r="D4" t="s">
        <v>54</v>
      </c>
      <c r="E4" t="s">
        <v>34</v>
      </c>
      <c r="F4" s="24">
        <v>5.220000000000001E-2</v>
      </c>
      <c r="G4">
        <v>40</v>
      </c>
      <c r="I4" t="s">
        <v>54</v>
      </c>
      <c r="J4" t="s">
        <v>34</v>
      </c>
      <c r="K4" s="24">
        <v>5.220000000000001E-2</v>
      </c>
      <c r="L4">
        <v>40</v>
      </c>
      <c r="M4" s="24">
        <v>5.8278441442447246E-2</v>
      </c>
      <c r="O4" t="s">
        <v>54</v>
      </c>
      <c r="P4" t="s">
        <v>34</v>
      </c>
      <c r="Q4" s="24">
        <v>2.2800000000000025E-3</v>
      </c>
      <c r="R4">
        <v>70.552000000000007</v>
      </c>
    </row>
    <row r="5" spans="1:18">
      <c r="A5" t="s">
        <v>1831</v>
      </c>
      <c r="B5" t="s">
        <v>1832</v>
      </c>
      <c r="D5" t="s">
        <v>63</v>
      </c>
      <c r="E5" t="s">
        <v>48</v>
      </c>
      <c r="F5" s="24">
        <v>9.9400000000000072E-2</v>
      </c>
      <c r="G5">
        <v>66</v>
      </c>
      <c r="I5" t="s">
        <v>63</v>
      </c>
      <c r="J5" t="s">
        <v>48</v>
      </c>
      <c r="K5" s="24">
        <v>9.9400000000000072E-2</v>
      </c>
      <c r="L5">
        <v>66</v>
      </c>
      <c r="M5" s="24">
        <v>0.11097465669308926</v>
      </c>
      <c r="O5" t="s">
        <v>63</v>
      </c>
      <c r="P5" t="s">
        <v>48</v>
      </c>
      <c r="Q5" s="24">
        <v>1.8E-3</v>
      </c>
      <c r="R5">
        <v>82.043999999999997</v>
      </c>
    </row>
    <row r="6" spans="1:18">
      <c r="A6" t="s">
        <v>1831</v>
      </c>
      <c r="B6" t="s">
        <v>1833</v>
      </c>
      <c r="D6" t="s">
        <v>71</v>
      </c>
      <c r="E6" t="s">
        <v>48</v>
      </c>
      <c r="F6" s="24">
        <v>5.7300000000000004E-2</v>
      </c>
      <c r="G6">
        <v>50</v>
      </c>
      <c r="I6" t="s">
        <v>71</v>
      </c>
      <c r="J6" t="s">
        <v>48</v>
      </c>
      <c r="K6" s="24">
        <v>5.7300000000000004E-2</v>
      </c>
      <c r="L6">
        <v>50</v>
      </c>
      <c r="M6" s="24">
        <v>6.3972312158088643E-2</v>
      </c>
      <c r="O6" t="s">
        <v>71</v>
      </c>
      <c r="P6" t="s">
        <v>48</v>
      </c>
      <c r="Q6" s="24">
        <v>1.3600000000000001E-3</v>
      </c>
      <c r="R6">
        <v>80.186000000000007</v>
      </c>
    </row>
    <row r="7" spans="1:18">
      <c r="A7" t="s">
        <v>1834</v>
      </c>
      <c r="B7" t="s">
        <v>1834</v>
      </c>
      <c r="D7" t="s">
        <v>59</v>
      </c>
      <c r="E7" t="s">
        <v>59</v>
      </c>
      <c r="F7" s="24">
        <v>0.12180000000000005</v>
      </c>
      <c r="G7">
        <v>49</v>
      </c>
      <c r="I7" t="s">
        <v>59</v>
      </c>
      <c r="J7" t="s">
        <v>59</v>
      </c>
      <c r="K7" s="24">
        <v>0.12180000000000005</v>
      </c>
      <c r="L7">
        <v>49</v>
      </c>
      <c r="M7" s="24">
        <v>0.13598303003237694</v>
      </c>
      <c r="O7" t="s">
        <v>59</v>
      </c>
      <c r="P7" t="s">
        <v>59</v>
      </c>
      <c r="Q7" s="24">
        <v>2.0999999999999999E-3</v>
      </c>
      <c r="R7">
        <v>83.09</v>
      </c>
    </row>
    <row r="8" spans="1:18">
      <c r="A8" t="s">
        <v>1835</v>
      </c>
      <c r="B8" t="s">
        <v>1836</v>
      </c>
      <c r="D8" t="s">
        <v>53</v>
      </c>
      <c r="E8" t="s">
        <v>52</v>
      </c>
      <c r="F8" s="24">
        <v>8.0800000000000011E-2</v>
      </c>
      <c r="G8">
        <v>31</v>
      </c>
      <c r="I8" t="s">
        <v>53</v>
      </c>
      <c r="J8" t="s">
        <v>52</v>
      </c>
      <c r="K8" s="24">
        <v>8.0800000000000011E-2</v>
      </c>
      <c r="L8">
        <v>31</v>
      </c>
      <c r="M8" s="24">
        <v>9.020877525957352E-2</v>
      </c>
      <c r="O8" t="s">
        <v>53</v>
      </c>
      <c r="P8" t="s">
        <v>52</v>
      </c>
      <c r="Q8" s="24">
        <v>3.9200000000000007E-3</v>
      </c>
      <c r="R8">
        <v>82.962000000000003</v>
      </c>
    </row>
    <row r="9" spans="1:18">
      <c r="A9" t="s">
        <v>1835</v>
      </c>
      <c r="B9" t="s">
        <v>1837</v>
      </c>
      <c r="D9" t="s">
        <v>93</v>
      </c>
      <c r="E9" t="s">
        <v>52</v>
      </c>
      <c r="F9" s="24">
        <v>9.6000000000000026E-3</v>
      </c>
      <c r="G9">
        <v>12</v>
      </c>
      <c r="I9" t="s">
        <v>93</v>
      </c>
      <c r="J9" t="s">
        <v>52</v>
      </c>
      <c r="K9" s="24">
        <v>9.6000000000000026E-3</v>
      </c>
      <c r="L9">
        <v>12</v>
      </c>
      <c r="M9" s="24">
        <v>1.0717874288266161E-2</v>
      </c>
      <c r="O9" t="s">
        <v>93</v>
      </c>
      <c r="P9" t="s">
        <v>52</v>
      </c>
      <c r="Q9" s="24">
        <v>1.4600000000000006E-3</v>
      </c>
      <c r="R9">
        <v>80.53</v>
      </c>
    </row>
    <row r="10" spans="1:18">
      <c r="A10" t="s">
        <v>1838</v>
      </c>
      <c r="B10" t="s">
        <v>1839</v>
      </c>
      <c r="D10" t="s">
        <v>103</v>
      </c>
      <c r="E10" t="s">
        <v>75</v>
      </c>
      <c r="F10" s="24">
        <v>5.609999999999999E-2</v>
      </c>
      <c r="G10">
        <v>32</v>
      </c>
      <c r="I10" t="s">
        <v>103</v>
      </c>
      <c r="J10" t="s">
        <v>75</v>
      </c>
      <c r="K10" s="24">
        <v>5.609999999999999E-2</v>
      </c>
      <c r="L10">
        <v>32</v>
      </c>
      <c r="M10" s="24">
        <v>6.2632577872055353E-2</v>
      </c>
      <c r="O10" t="s">
        <v>103</v>
      </c>
      <c r="P10" t="s">
        <v>75</v>
      </c>
      <c r="Q10" s="24">
        <v>2.5800000000000024E-3</v>
      </c>
      <c r="R10">
        <v>85.073999999999998</v>
      </c>
    </row>
    <row r="11" spans="1:18">
      <c r="A11" t="s">
        <v>1838</v>
      </c>
      <c r="B11" t="s">
        <v>1840</v>
      </c>
      <c r="D11" t="s">
        <v>111</v>
      </c>
      <c r="E11" t="s">
        <v>75</v>
      </c>
      <c r="F11" s="24">
        <v>1.4199999999999996E-2</v>
      </c>
      <c r="G11">
        <v>17</v>
      </c>
      <c r="I11" t="s">
        <v>111</v>
      </c>
      <c r="J11" t="s">
        <v>75</v>
      </c>
      <c r="K11" s="24">
        <v>1.4199999999999996E-2</v>
      </c>
      <c r="L11">
        <v>17</v>
      </c>
      <c r="M11" s="24">
        <v>1.5853522384727023E-2</v>
      </c>
      <c r="O11" t="s">
        <v>111</v>
      </c>
      <c r="P11" t="s">
        <v>75</v>
      </c>
      <c r="Q11" s="24">
        <v>1.0400000000000001E-3</v>
      </c>
      <c r="R11">
        <v>75.28</v>
      </c>
    </row>
    <row r="12" spans="1:18">
      <c r="A12" t="s">
        <v>1838</v>
      </c>
      <c r="B12" t="s">
        <v>1841</v>
      </c>
      <c r="D12" t="s">
        <v>119</v>
      </c>
      <c r="E12" t="s">
        <v>75</v>
      </c>
      <c r="F12" s="24">
        <v>8.2000000000000007E-3</v>
      </c>
      <c r="G12">
        <v>11</v>
      </c>
      <c r="I12" t="s">
        <v>119</v>
      </c>
      <c r="J12" t="s">
        <v>75</v>
      </c>
      <c r="K12" s="24">
        <v>8.2000000000000007E-3</v>
      </c>
      <c r="L12">
        <v>11</v>
      </c>
      <c r="M12" s="24">
        <v>9.1548509545606779E-3</v>
      </c>
      <c r="O12" t="s">
        <v>119</v>
      </c>
      <c r="P12" t="s">
        <v>75</v>
      </c>
      <c r="Q12" s="24">
        <v>1.2000000000000008E-3</v>
      </c>
      <c r="R12">
        <v>81.178000000000011</v>
      </c>
    </row>
    <row r="13" spans="1:18">
      <c r="A13" t="s">
        <v>1842</v>
      </c>
      <c r="B13" t="s">
        <v>1843</v>
      </c>
      <c r="D13" t="s">
        <v>42</v>
      </c>
      <c r="E13" t="s">
        <v>30</v>
      </c>
      <c r="F13" s="24">
        <v>3.5499999999999997E-2</v>
      </c>
      <c r="G13">
        <v>13</v>
      </c>
      <c r="I13" t="s">
        <v>42</v>
      </c>
      <c r="J13" t="s">
        <v>30</v>
      </c>
      <c r="K13" s="24">
        <v>3.5499999999999997E-2</v>
      </c>
      <c r="L13">
        <v>13</v>
      </c>
      <c r="M13" s="24">
        <v>3.9633805961817564E-2</v>
      </c>
      <c r="O13" t="s">
        <v>42</v>
      </c>
      <c r="P13" t="s">
        <v>30</v>
      </c>
      <c r="Q13" s="24">
        <v>2.4000000000000015E-3</v>
      </c>
      <c r="R13">
        <v>79.772000000000006</v>
      </c>
    </row>
    <row r="14" spans="1:18">
      <c r="A14" t="s">
        <v>1842</v>
      </c>
      <c r="B14" t="s">
        <v>1844</v>
      </c>
      <c r="D14" t="s">
        <v>31</v>
      </c>
      <c r="E14" t="s">
        <v>30</v>
      </c>
      <c r="F14" s="24">
        <v>3.2899999999999999E-2</v>
      </c>
      <c r="G14">
        <v>15</v>
      </c>
      <c r="I14" t="s">
        <v>31</v>
      </c>
      <c r="J14" t="s">
        <v>30</v>
      </c>
      <c r="K14" s="24">
        <v>3.2899999999999999E-2</v>
      </c>
      <c r="L14">
        <v>15</v>
      </c>
      <c r="M14" s="24">
        <v>3.6731048342078812E-2</v>
      </c>
      <c r="O14" t="s">
        <v>31</v>
      </c>
      <c r="P14" t="s">
        <v>30</v>
      </c>
      <c r="Q14" s="24">
        <v>1.9400000000000003E-3</v>
      </c>
      <c r="R14">
        <v>73.95</v>
      </c>
    </row>
    <row r="15" spans="1:18">
      <c r="A15" t="s">
        <v>1845</v>
      </c>
      <c r="B15" t="s">
        <v>1845</v>
      </c>
      <c r="D15" t="s">
        <v>89</v>
      </c>
      <c r="E15" t="s">
        <v>89</v>
      </c>
      <c r="F15" s="24">
        <v>5.67E-2</v>
      </c>
      <c r="G15">
        <v>52</v>
      </c>
      <c r="I15" t="s">
        <v>89</v>
      </c>
      <c r="J15" t="s">
        <v>89</v>
      </c>
      <c r="K15" s="24">
        <v>5.6699999999999973E-2</v>
      </c>
      <c r="L15">
        <v>52</v>
      </c>
      <c r="M15" s="24">
        <v>6.330244501507197E-2</v>
      </c>
      <c r="O15" t="s">
        <v>89</v>
      </c>
      <c r="P15" t="s">
        <v>89</v>
      </c>
      <c r="Q15" s="24">
        <v>1.300000000000003E-3</v>
      </c>
      <c r="R15">
        <v>81.441999999999993</v>
      </c>
    </row>
    <row r="16" spans="1:18">
      <c r="A16" t="s">
        <v>1846</v>
      </c>
      <c r="B16" t="s">
        <v>1847</v>
      </c>
      <c r="D16" t="s">
        <v>101</v>
      </c>
      <c r="E16" t="s">
        <v>98</v>
      </c>
      <c r="F16" s="24">
        <v>0</v>
      </c>
      <c r="G16">
        <v>0</v>
      </c>
      <c r="I16" t="s">
        <v>101</v>
      </c>
      <c r="J16" t="s">
        <v>98</v>
      </c>
      <c r="K16" s="24">
        <v>0</v>
      </c>
      <c r="L16">
        <v>0</v>
      </c>
      <c r="M16" s="24">
        <v>0</v>
      </c>
      <c r="O16" t="s">
        <v>101</v>
      </c>
      <c r="P16" t="s">
        <v>98</v>
      </c>
    </row>
    <row r="17" spans="1:18">
      <c r="A17" t="s">
        <v>1846</v>
      </c>
      <c r="B17" t="s">
        <v>1848</v>
      </c>
      <c r="D17" t="s">
        <v>148</v>
      </c>
      <c r="E17" t="s">
        <v>98</v>
      </c>
      <c r="F17" s="24">
        <v>1.1999999999999999E-3</v>
      </c>
      <c r="G17">
        <v>1</v>
      </c>
      <c r="I17" t="s">
        <v>148</v>
      </c>
      <c r="J17" t="s">
        <v>98</v>
      </c>
      <c r="K17" s="24">
        <v>1.1999999999999999E-3</v>
      </c>
      <c r="L17">
        <v>1</v>
      </c>
      <c r="M17" s="24">
        <v>1.3397342860332697E-3</v>
      </c>
      <c r="O17" t="s">
        <v>148</v>
      </c>
      <c r="P17" t="s">
        <v>98</v>
      </c>
      <c r="Q17" s="24">
        <v>1.1999999999999999E-3</v>
      </c>
      <c r="R17">
        <v>69.03</v>
      </c>
    </row>
    <row r="18" spans="1:18">
      <c r="A18" t="s">
        <v>1849</v>
      </c>
      <c r="B18" t="s">
        <v>1849</v>
      </c>
      <c r="D18" t="s">
        <v>107</v>
      </c>
      <c r="E18" t="s">
        <v>107</v>
      </c>
      <c r="F18" s="24">
        <v>3.4299999999999997E-2</v>
      </c>
      <c r="G18">
        <v>21</v>
      </c>
      <c r="I18" t="s">
        <v>107</v>
      </c>
      <c r="J18" t="s">
        <v>107</v>
      </c>
      <c r="K18" s="24">
        <v>3.4299999999999997E-2</v>
      </c>
      <c r="L18">
        <v>21</v>
      </c>
      <c r="M18" s="24">
        <v>3.8294071675784296E-2</v>
      </c>
      <c r="O18" t="s">
        <v>107</v>
      </c>
      <c r="P18" t="s">
        <v>107</v>
      </c>
      <c r="Q18" s="24">
        <v>2.7000000000000014E-3</v>
      </c>
      <c r="R18">
        <v>80.489999999999995</v>
      </c>
    </row>
    <row r="19" spans="1:18">
      <c r="A19" t="s">
        <v>1850</v>
      </c>
      <c r="B19" t="s">
        <v>1851</v>
      </c>
      <c r="D19" t="s">
        <v>147</v>
      </c>
      <c r="E19" t="s">
        <v>115</v>
      </c>
      <c r="F19" s="24">
        <v>2.29E-2</v>
      </c>
      <c r="G19">
        <v>13</v>
      </c>
      <c r="I19" t="s">
        <v>147</v>
      </c>
      <c r="J19" t="s">
        <v>115</v>
      </c>
      <c r="K19" s="24">
        <v>2.29E-2</v>
      </c>
      <c r="L19">
        <v>13</v>
      </c>
      <c r="M19" s="24">
        <v>2.5566595958468233E-2</v>
      </c>
      <c r="O19" t="s">
        <v>147</v>
      </c>
      <c r="P19" t="s">
        <v>115</v>
      </c>
      <c r="Q19" s="24">
        <v>1.7200000000000008E-3</v>
      </c>
      <c r="R19">
        <v>83.128</v>
      </c>
    </row>
    <row r="20" spans="1:18">
      <c r="A20" t="s">
        <v>1850</v>
      </c>
      <c r="B20" t="s">
        <v>1852</v>
      </c>
      <c r="D20" t="s">
        <v>158</v>
      </c>
      <c r="E20" t="s">
        <v>115</v>
      </c>
      <c r="F20" s="24">
        <v>1.5300000000000001E-2</v>
      </c>
      <c r="G20">
        <v>15</v>
      </c>
      <c r="I20" t="s">
        <v>158</v>
      </c>
      <c r="J20" t="s">
        <v>115</v>
      </c>
      <c r="K20" s="24">
        <v>1.5300000000000001E-2</v>
      </c>
      <c r="L20">
        <v>15</v>
      </c>
      <c r="M20" s="24">
        <v>1.7081612146924191E-2</v>
      </c>
      <c r="O20" t="s">
        <v>158</v>
      </c>
      <c r="P20" t="s">
        <v>115</v>
      </c>
      <c r="Q20" s="24">
        <v>1.7400000000000007E-3</v>
      </c>
      <c r="R20">
        <v>78.292000000000002</v>
      </c>
    </row>
    <row r="21" spans="1:18">
      <c r="A21" t="s">
        <v>1853</v>
      </c>
      <c r="B21" t="s">
        <v>1853</v>
      </c>
      <c r="D21" t="s">
        <v>123</v>
      </c>
      <c r="E21" t="s">
        <v>123</v>
      </c>
      <c r="F21" s="24">
        <v>1.2700000000000003E-2</v>
      </c>
      <c r="G21">
        <v>29</v>
      </c>
      <c r="I21" t="s">
        <v>123</v>
      </c>
      <c r="J21" t="s">
        <v>123</v>
      </c>
      <c r="K21" s="24">
        <v>1.2700000000000003E-2</v>
      </c>
      <c r="L21">
        <v>29</v>
      </c>
      <c r="M21" s="24">
        <v>1.4178854527185442E-2</v>
      </c>
      <c r="O21" t="s">
        <v>123</v>
      </c>
      <c r="P21" t="s">
        <v>123</v>
      </c>
      <c r="Q21" s="24">
        <v>5.9999999999999995E-4</v>
      </c>
      <c r="R21">
        <v>85.37</v>
      </c>
    </row>
    <row r="22" spans="1:18">
      <c r="A22" s="96" t="s">
        <v>1854</v>
      </c>
      <c r="D22" s="101" t="s">
        <v>171</v>
      </c>
      <c r="E22" s="101"/>
      <c r="F22" s="102">
        <v>0.89570000000000016</v>
      </c>
      <c r="G22" s="101">
        <v>547</v>
      </c>
      <c r="I22" s="101"/>
      <c r="J22" s="101"/>
      <c r="K22" s="102">
        <v>0.89570000000000016</v>
      </c>
      <c r="L22" s="101">
        <v>547</v>
      </c>
      <c r="M22" s="102">
        <v>1</v>
      </c>
      <c r="O22" s="98"/>
      <c r="P22" s="98"/>
      <c r="Q22" s="98"/>
      <c r="R22" s="98"/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99A10-1F09-4091-A4FE-53545B8F8727}">
  <sheetPr>
    <tabColor theme="3" tint="0.89999084444715716"/>
  </sheetPr>
  <dimension ref="A2:M52"/>
  <sheetViews>
    <sheetView workbookViewId="0">
      <selection activeCell="B55" sqref="B55"/>
    </sheetView>
  </sheetViews>
  <sheetFormatPr defaultRowHeight="15"/>
  <cols>
    <col min="1" max="1" width="26.42578125" customWidth="1"/>
    <col min="2" max="2" width="31.85546875" bestFit="1" customWidth="1"/>
    <col min="3" max="3" width="75" hidden="1" customWidth="1"/>
    <col min="4" max="4" width="9.5703125" hidden="1" customWidth="1"/>
    <col min="5" max="5" width="16.5703125" hidden="1" customWidth="1"/>
    <col min="6" max="6" width="8.85546875" hidden="1" customWidth="1"/>
    <col min="7" max="8" width="0" hidden="1" customWidth="1"/>
    <col min="9" max="9" width="7.7109375" hidden="1" customWidth="1"/>
    <col min="10" max="10" width="0" style="24" hidden="1" customWidth="1"/>
    <col min="11" max="11" width="0" hidden="1" customWidth="1"/>
    <col min="12" max="12" width="0.140625" customWidth="1"/>
  </cols>
  <sheetData>
    <row r="2" spans="1:13">
      <c r="A2" s="97" t="s">
        <v>5</v>
      </c>
      <c r="B2" s="97" t="s">
        <v>1855</v>
      </c>
      <c r="C2" s="97" t="s">
        <v>16</v>
      </c>
      <c r="D2" s="97" t="s">
        <v>1</v>
      </c>
      <c r="E2" s="97" t="s">
        <v>17</v>
      </c>
      <c r="F2" s="97" t="s">
        <v>18</v>
      </c>
      <c r="G2" s="97" t="s">
        <v>3</v>
      </c>
      <c r="H2" s="97" t="s">
        <v>19</v>
      </c>
      <c r="I2" s="97" t="s">
        <v>20</v>
      </c>
      <c r="J2" s="97"/>
      <c r="K2" s="97"/>
      <c r="L2" s="97"/>
      <c r="M2" s="97" t="s">
        <v>1856</v>
      </c>
    </row>
    <row r="3" spans="1:13">
      <c r="A3" t="s">
        <v>34</v>
      </c>
      <c r="B3" t="s">
        <v>33</v>
      </c>
      <c r="C3" t="s">
        <v>35</v>
      </c>
      <c r="D3" t="s">
        <v>36</v>
      </c>
      <c r="E3" t="s">
        <v>37</v>
      </c>
      <c r="F3" t="s">
        <v>38</v>
      </c>
      <c r="G3">
        <v>93.03</v>
      </c>
      <c r="H3">
        <v>6.3E-3</v>
      </c>
      <c r="I3">
        <v>0.18805970149253731</v>
      </c>
      <c r="J3" s="24">
        <v>2.2473134328358204E-2</v>
      </c>
      <c r="K3">
        <v>2.2473134328358201E-2</v>
      </c>
      <c r="L3" s="24">
        <v>2.3578988908150449E-2</v>
      </c>
      <c r="M3" s="24">
        <f>SUM(L3:L8)</f>
        <v>0.125380337844927</v>
      </c>
    </row>
    <row r="4" spans="1:13" hidden="1">
      <c r="C4" t="s">
        <v>44</v>
      </c>
      <c r="D4" t="s">
        <v>45</v>
      </c>
      <c r="E4" t="s">
        <v>46</v>
      </c>
      <c r="F4" t="s">
        <v>47</v>
      </c>
      <c r="G4">
        <v>92.51</v>
      </c>
      <c r="H4">
        <v>7.4000000000000003E-3</v>
      </c>
      <c r="I4">
        <v>0.22089552238805971</v>
      </c>
      <c r="J4" s="24">
        <v>2.6397014925373132E-2</v>
      </c>
      <c r="K4">
        <v>2.6397014925373132E-2</v>
      </c>
      <c r="L4" s="24">
        <v>2.7695955225446569E-2</v>
      </c>
    </row>
    <row r="5" spans="1:13" hidden="1">
      <c r="C5" t="s">
        <v>55</v>
      </c>
      <c r="D5" t="s">
        <v>56</v>
      </c>
      <c r="E5" t="s">
        <v>57</v>
      </c>
      <c r="F5" t="s">
        <v>58</v>
      </c>
      <c r="G5">
        <v>91.93</v>
      </c>
      <c r="H5">
        <v>6.6E-3</v>
      </c>
      <c r="I5">
        <v>0.19701492537313431</v>
      </c>
      <c r="J5" s="24">
        <v>2.3543283582089545E-2</v>
      </c>
      <c r="K5">
        <v>2.3543283582089545E-2</v>
      </c>
      <c r="L5" s="24">
        <v>2.4701797903776662E-2</v>
      </c>
    </row>
    <row r="6" spans="1:13" hidden="1">
      <c r="C6" t="s">
        <v>64</v>
      </c>
      <c r="D6" t="s">
        <v>65</v>
      </c>
      <c r="E6" t="s">
        <v>66</v>
      </c>
      <c r="F6" t="s">
        <v>67</v>
      </c>
      <c r="G6">
        <v>86.1</v>
      </c>
      <c r="H6">
        <v>4.5999999999999999E-3</v>
      </c>
      <c r="I6">
        <v>0.1373134328358209</v>
      </c>
      <c r="J6" s="24">
        <v>1.6408955223880594E-2</v>
      </c>
      <c r="K6">
        <v>1.6408955223880594E-2</v>
      </c>
      <c r="L6" s="24">
        <v>1.7216404599601918E-2</v>
      </c>
    </row>
    <row r="7" spans="1:13" hidden="1">
      <c r="C7" t="s">
        <v>72</v>
      </c>
      <c r="D7" t="s">
        <v>73</v>
      </c>
      <c r="E7" t="s">
        <v>74</v>
      </c>
      <c r="F7" t="s">
        <v>67</v>
      </c>
      <c r="G7">
        <v>85.67</v>
      </c>
      <c r="H7">
        <v>4.5999999999999999E-3</v>
      </c>
      <c r="I7">
        <v>0.1373134328358209</v>
      </c>
      <c r="J7" s="24">
        <v>1.6408955223880594E-2</v>
      </c>
      <c r="K7">
        <v>1.6408955223880594E-2</v>
      </c>
      <c r="L7" s="24">
        <v>1.7216404599601918E-2</v>
      </c>
    </row>
    <row r="8" spans="1:13" hidden="1">
      <c r="C8" t="s">
        <v>79</v>
      </c>
      <c r="D8" t="s">
        <v>80</v>
      </c>
      <c r="E8" t="s">
        <v>81</v>
      </c>
      <c r="F8" t="s">
        <v>67</v>
      </c>
      <c r="G8">
        <v>83.65</v>
      </c>
      <c r="H8">
        <v>4.0000000000000001E-3</v>
      </c>
      <c r="I8">
        <v>0.11940298507462686</v>
      </c>
      <c r="J8" s="24">
        <v>1.4268656716417909E-2</v>
      </c>
      <c r="K8">
        <v>1.4268656716417909E-2</v>
      </c>
      <c r="L8" s="24">
        <v>1.4970786608349496E-2</v>
      </c>
    </row>
    <row r="9" spans="1:13">
      <c r="A9" t="s">
        <v>34</v>
      </c>
      <c r="B9" t="s">
        <v>43</v>
      </c>
      <c r="C9" t="s">
        <v>85</v>
      </c>
      <c r="D9" t="s">
        <v>86</v>
      </c>
      <c r="E9" t="s">
        <v>87</v>
      </c>
      <c r="F9" t="s">
        <v>88</v>
      </c>
      <c r="G9">
        <v>87.93</v>
      </c>
      <c r="H9">
        <v>1.2500000000000001E-2</v>
      </c>
      <c r="I9">
        <v>0.3541076487252125</v>
      </c>
      <c r="J9" s="24">
        <v>2.3300283286118981E-2</v>
      </c>
      <c r="K9">
        <v>2.3300283286118981E-2</v>
      </c>
      <c r="L9" s="24">
        <v>2.4446840086159872E-2</v>
      </c>
      <c r="M9" s="24">
        <f>SUM(L9:L13)</f>
        <v>6.9037876403315476E-2</v>
      </c>
    </row>
    <row r="10" spans="1:13" hidden="1">
      <c r="C10" t="s">
        <v>94</v>
      </c>
      <c r="D10" t="s">
        <v>95</v>
      </c>
      <c r="E10" t="s">
        <v>96</v>
      </c>
      <c r="F10" t="s">
        <v>97</v>
      </c>
      <c r="G10">
        <v>85.99</v>
      </c>
      <c r="H10">
        <v>8.0999999999999996E-3</v>
      </c>
      <c r="I10">
        <v>0.22946175637393768</v>
      </c>
      <c r="J10" s="24">
        <v>1.5098583569405098E-2</v>
      </c>
      <c r="K10">
        <v>1.5098583569405098E-2</v>
      </c>
      <c r="L10" s="24">
        <v>1.5841552375831597E-2</v>
      </c>
    </row>
    <row r="11" spans="1:13" hidden="1">
      <c r="C11" t="s">
        <v>104</v>
      </c>
      <c r="D11" t="s">
        <v>105</v>
      </c>
      <c r="E11" t="s">
        <v>106</v>
      </c>
      <c r="F11" t="s">
        <v>88</v>
      </c>
      <c r="G11">
        <v>83.45</v>
      </c>
      <c r="H11">
        <v>7.1999999999999998E-3</v>
      </c>
      <c r="I11">
        <v>0.20396600566572237</v>
      </c>
      <c r="J11" s="24">
        <v>1.3420963172804532E-2</v>
      </c>
      <c r="K11">
        <v>1.3420963172804532E-2</v>
      </c>
      <c r="L11" s="24">
        <v>1.4081379889628086E-2</v>
      </c>
    </row>
    <row r="12" spans="1:13" hidden="1">
      <c r="C12" t="s">
        <v>112</v>
      </c>
      <c r="D12" t="s">
        <v>113</v>
      </c>
      <c r="E12" t="s">
        <v>114</v>
      </c>
      <c r="F12" t="s">
        <v>97</v>
      </c>
      <c r="G12">
        <v>82.75</v>
      </c>
      <c r="H12">
        <v>4.1000000000000003E-3</v>
      </c>
      <c r="I12">
        <v>0.1161473087818697</v>
      </c>
      <c r="J12" s="24">
        <v>7.6424929178470257E-3</v>
      </c>
      <c r="K12">
        <v>7.6424929178470257E-3</v>
      </c>
      <c r="L12" s="24">
        <v>8.0185635482604382E-3</v>
      </c>
    </row>
    <row r="13" spans="1:13" hidden="1">
      <c r="C13" t="s">
        <v>120</v>
      </c>
      <c r="D13" t="s">
        <v>121</v>
      </c>
      <c r="E13" t="s">
        <v>122</v>
      </c>
      <c r="F13" t="s">
        <v>38</v>
      </c>
      <c r="G13">
        <v>90.45</v>
      </c>
      <c r="H13">
        <v>3.3999999999999998E-3</v>
      </c>
      <c r="I13">
        <v>9.6317280453257784E-2</v>
      </c>
      <c r="J13" s="24">
        <v>6.3376770538243615E-3</v>
      </c>
      <c r="K13">
        <v>6.3376770538243615E-3</v>
      </c>
      <c r="L13" s="24">
        <v>6.6495405034354841E-3</v>
      </c>
    </row>
    <row r="14" spans="1:13">
      <c r="A14" t="s">
        <v>34</v>
      </c>
      <c r="B14" t="s">
        <v>54</v>
      </c>
      <c r="C14" t="s">
        <v>124</v>
      </c>
      <c r="D14" t="s">
        <v>125</v>
      </c>
      <c r="E14" t="s">
        <v>126</v>
      </c>
      <c r="F14" t="s">
        <v>97</v>
      </c>
      <c r="G14">
        <v>86.79</v>
      </c>
      <c r="H14">
        <v>7.9000000000000008E-3</v>
      </c>
      <c r="I14">
        <v>0.35111111111111115</v>
      </c>
      <c r="J14" s="24">
        <v>1.8468444444444451E-2</v>
      </c>
      <c r="K14">
        <v>1.8468444444444451E-2</v>
      </c>
      <c r="L14" s="24">
        <v>1.9377236852842771E-2</v>
      </c>
      <c r="M14" s="24">
        <f>SUM(L14:L17)</f>
        <v>5.5188332808729409E-2</v>
      </c>
    </row>
    <row r="15" spans="1:13" hidden="1">
      <c r="C15" t="s">
        <v>130</v>
      </c>
      <c r="D15" t="s">
        <v>131</v>
      </c>
      <c r="E15" t="s">
        <v>132</v>
      </c>
      <c r="F15" t="s">
        <v>67</v>
      </c>
      <c r="G15">
        <v>73.69</v>
      </c>
      <c r="H15">
        <v>6.1000000000000004E-3</v>
      </c>
      <c r="I15">
        <v>0.27111111111111114</v>
      </c>
      <c r="J15" s="24">
        <v>1.4260444444444447E-2</v>
      </c>
      <c r="K15">
        <v>1.4260444444444447E-2</v>
      </c>
      <c r="L15" s="24">
        <v>1.4962170228144417E-2</v>
      </c>
    </row>
    <row r="16" spans="1:13" hidden="1">
      <c r="C16" t="s">
        <v>136</v>
      </c>
      <c r="D16" t="s">
        <v>137</v>
      </c>
      <c r="E16" t="s">
        <v>138</v>
      </c>
      <c r="F16" t="s">
        <v>88</v>
      </c>
      <c r="G16">
        <v>70.819999999999993</v>
      </c>
      <c r="H16">
        <v>4.7999999999999996E-3</v>
      </c>
      <c r="I16">
        <v>0.21333333333333332</v>
      </c>
      <c r="J16" s="24">
        <v>1.1221333333333335E-2</v>
      </c>
      <c r="K16">
        <v>1.1221333333333335E-2</v>
      </c>
      <c r="L16" s="24">
        <v>1.1773510999195606E-2</v>
      </c>
    </row>
    <row r="17" spans="1:13" hidden="1">
      <c r="C17" t="s">
        <v>141</v>
      </c>
      <c r="D17" t="s">
        <v>142</v>
      </c>
      <c r="E17" t="s">
        <v>143</v>
      </c>
      <c r="F17" t="s">
        <v>67</v>
      </c>
      <c r="G17">
        <v>70.75</v>
      </c>
      <c r="H17">
        <v>3.7000000000000002E-3</v>
      </c>
      <c r="I17">
        <v>0.16444444444444445</v>
      </c>
      <c r="J17" s="24">
        <v>8.6497777777777788E-3</v>
      </c>
      <c r="K17">
        <v>8.6497777777777805E-3</v>
      </c>
      <c r="L17" s="24">
        <v>9.0754147285466141E-3</v>
      </c>
    </row>
    <row r="18" spans="1:13">
      <c r="A18" t="s">
        <v>48</v>
      </c>
      <c r="B18" t="s">
        <v>63</v>
      </c>
      <c r="C18" t="s">
        <v>108</v>
      </c>
      <c r="D18" t="s">
        <v>109</v>
      </c>
      <c r="E18" t="s">
        <v>110</v>
      </c>
      <c r="F18" t="s">
        <v>88</v>
      </c>
      <c r="G18">
        <v>83.7</v>
      </c>
      <c r="H18">
        <v>1.43E-2</v>
      </c>
      <c r="I18">
        <v>0.31991051454138703</v>
      </c>
      <c r="J18" s="24">
        <v>3.8837136465324412E-2</v>
      </c>
      <c r="K18">
        <v>3.8837136465324412E-2</v>
      </c>
      <c r="L18" s="24">
        <v>4.0748228376166616E-2</v>
      </c>
      <c r="M18" s="24">
        <f>SUM(L18:L23)</f>
        <v>0.1273738327562691</v>
      </c>
    </row>
    <row r="19" spans="1:13" hidden="1">
      <c r="C19" t="s">
        <v>133</v>
      </c>
      <c r="D19" t="s">
        <v>134</v>
      </c>
      <c r="E19" t="s">
        <v>135</v>
      </c>
      <c r="F19" t="s">
        <v>47</v>
      </c>
      <c r="G19">
        <v>82.36</v>
      </c>
      <c r="H19">
        <v>1.0999999999999999E-2</v>
      </c>
      <c r="I19">
        <v>0.24608501118568232</v>
      </c>
      <c r="J19" s="24">
        <v>2.9874720357941857E-2</v>
      </c>
      <c r="K19">
        <v>2.9874720357941857E-2</v>
      </c>
      <c r="L19" s="24">
        <v>3.1344791058589706E-2</v>
      </c>
    </row>
    <row r="20" spans="1:13" hidden="1">
      <c r="C20" t="s">
        <v>155</v>
      </c>
      <c r="D20" t="s">
        <v>156</v>
      </c>
      <c r="E20" t="s">
        <v>157</v>
      </c>
      <c r="F20" t="s">
        <v>97</v>
      </c>
      <c r="G20">
        <v>90.42</v>
      </c>
      <c r="H20">
        <v>6.8999999999999999E-3</v>
      </c>
      <c r="I20">
        <v>0.15436241610738255</v>
      </c>
      <c r="J20" s="24">
        <v>1.8739597315436257E-2</v>
      </c>
      <c r="K20">
        <v>1.8739597315436257E-2</v>
      </c>
      <c r="L20" s="24">
        <v>1.9661732573115362E-2</v>
      </c>
    </row>
    <row r="21" spans="1:13" hidden="1">
      <c r="C21" t="s">
        <v>159</v>
      </c>
      <c r="D21" t="s">
        <v>160</v>
      </c>
      <c r="E21" t="s">
        <v>161</v>
      </c>
      <c r="F21" t="s">
        <v>88</v>
      </c>
      <c r="G21">
        <v>84.02</v>
      </c>
      <c r="H21">
        <v>6.7000000000000002E-3</v>
      </c>
      <c r="I21">
        <v>0.1498881431767338</v>
      </c>
      <c r="J21" s="24">
        <v>1.8196420581655496E-2</v>
      </c>
      <c r="K21">
        <v>1.8196420581655496E-2</v>
      </c>
      <c r="L21" s="24">
        <v>1.9091827281141005E-2</v>
      </c>
    </row>
    <row r="22" spans="1:13" hidden="1">
      <c r="C22" t="s">
        <v>164</v>
      </c>
      <c r="D22" t="s">
        <v>165</v>
      </c>
      <c r="E22" t="s">
        <v>166</v>
      </c>
      <c r="F22" t="s">
        <v>167</v>
      </c>
      <c r="G22">
        <v>86.49</v>
      </c>
      <c r="H22">
        <v>3.3999999999999998E-3</v>
      </c>
      <c r="I22">
        <v>7.6062639821029079E-2</v>
      </c>
      <c r="J22" s="24">
        <v>9.2340044742729374E-3</v>
      </c>
      <c r="K22">
        <v>9.2340044742729374E-3</v>
      </c>
      <c r="L22" s="24">
        <v>9.68838996356409E-3</v>
      </c>
    </row>
    <row r="23" spans="1:13" hidden="1">
      <c r="C23" t="s">
        <v>172</v>
      </c>
      <c r="D23" t="s">
        <v>173</v>
      </c>
      <c r="E23" t="s">
        <v>174</v>
      </c>
      <c r="F23" t="s">
        <v>47</v>
      </c>
      <c r="G23">
        <v>85.47</v>
      </c>
      <c r="H23">
        <v>2.3999999999999998E-3</v>
      </c>
      <c r="I23">
        <v>5.3691275167785234E-2</v>
      </c>
      <c r="J23" s="24">
        <v>6.5181208053691321E-3</v>
      </c>
      <c r="K23">
        <v>6.5181208053691321E-3</v>
      </c>
      <c r="L23" s="24">
        <v>6.8388635036922994E-3</v>
      </c>
    </row>
    <row r="24" spans="1:13">
      <c r="A24" t="s">
        <v>48</v>
      </c>
      <c r="B24" t="s">
        <v>71</v>
      </c>
      <c r="C24" t="s">
        <v>178</v>
      </c>
      <c r="D24" t="s">
        <v>179</v>
      </c>
      <c r="E24" t="s">
        <v>180</v>
      </c>
      <c r="F24" t="s">
        <v>67</v>
      </c>
      <c r="G24">
        <v>83.54</v>
      </c>
      <c r="H24">
        <v>8.0000000000000002E-3</v>
      </c>
      <c r="I24">
        <v>0.48484848484848486</v>
      </c>
      <c r="J24" s="24">
        <v>2.8266666666666669E-2</v>
      </c>
      <c r="K24">
        <v>2.8266666666666669E-2</v>
      </c>
      <c r="L24" s="24">
        <v>2.9657608505578283E-2</v>
      </c>
      <c r="M24" s="24">
        <f>SUM(L24:L26)</f>
        <v>6.1168817542755202E-2</v>
      </c>
    </row>
    <row r="25" spans="1:13" hidden="1">
      <c r="C25" t="s">
        <v>184</v>
      </c>
      <c r="D25" t="s">
        <v>185</v>
      </c>
      <c r="E25" t="s">
        <v>186</v>
      </c>
      <c r="F25" t="s">
        <v>47</v>
      </c>
      <c r="G25">
        <v>86.88</v>
      </c>
      <c r="H25">
        <v>6.6E-3</v>
      </c>
      <c r="I25">
        <v>0.39999999999999997</v>
      </c>
      <c r="J25" s="24">
        <v>2.332E-2</v>
      </c>
      <c r="K25">
        <v>2.332E-2</v>
      </c>
      <c r="L25" s="24">
        <v>2.446752701710208E-2</v>
      </c>
    </row>
    <row r="26" spans="1:13" hidden="1">
      <c r="C26" t="s">
        <v>187</v>
      </c>
      <c r="D26" t="s">
        <v>188</v>
      </c>
      <c r="E26" t="s">
        <v>189</v>
      </c>
      <c r="F26" t="s">
        <v>190</v>
      </c>
      <c r="G26">
        <v>84.65</v>
      </c>
      <c r="H26">
        <v>1.9E-3</v>
      </c>
      <c r="I26">
        <v>0.11515151515151514</v>
      </c>
      <c r="J26" s="24">
        <v>6.7133333333333333E-3</v>
      </c>
      <c r="K26">
        <v>6.7133333333333333E-3</v>
      </c>
      <c r="L26" s="24">
        <v>7.043682020074841E-3</v>
      </c>
    </row>
    <row r="27" spans="1:13">
      <c r="A27" t="s">
        <v>59</v>
      </c>
      <c r="B27" t="s">
        <v>59</v>
      </c>
      <c r="C27" t="s">
        <v>60</v>
      </c>
      <c r="D27" t="s">
        <v>61</v>
      </c>
      <c r="E27" t="s">
        <v>62</v>
      </c>
      <c r="F27" t="s">
        <v>97</v>
      </c>
      <c r="G27">
        <v>86.7</v>
      </c>
      <c r="H27">
        <v>1.7299999999999999E-2</v>
      </c>
      <c r="I27">
        <v>0.34599999999999997</v>
      </c>
      <c r="J27" s="24">
        <v>4.480700000000002E-2</v>
      </c>
      <c r="K27">
        <v>4.480700000000002E-2</v>
      </c>
      <c r="L27" s="24">
        <v>4.701185604868325E-2</v>
      </c>
      <c r="M27" s="24">
        <f>SUM(L27:L30)</f>
        <v>0.13587241632567415</v>
      </c>
    </row>
    <row r="28" spans="1:13" hidden="1">
      <c r="C28" t="s">
        <v>82</v>
      </c>
      <c r="D28" t="s">
        <v>83</v>
      </c>
      <c r="E28" t="s">
        <v>84</v>
      </c>
      <c r="F28" t="s">
        <v>67</v>
      </c>
      <c r="G28">
        <v>94.58</v>
      </c>
      <c r="H28">
        <v>1.67E-2</v>
      </c>
      <c r="I28">
        <v>0.33399999999999996</v>
      </c>
      <c r="J28" s="24">
        <v>4.3253000000000014E-2</v>
      </c>
      <c r="K28">
        <v>4.3253000000000014E-2</v>
      </c>
      <c r="L28" s="24">
        <v>4.5381387052775155E-2</v>
      </c>
    </row>
    <row r="29" spans="1:13" hidden="1">
      <c r="C29" t="s">
        <v>149</v>
      </c>
      <c r="D29" t="s">
        <v>150</v>
      </c>
      <c r="E29" t="s">
        <v>151</v>
      </c>
      <c r="F29" t="s">
        <v>47</v>
      </c>
      <c r="G29">
        <v>86.05</v>
      </c>
      <c r="H29">
        <v>9.7000000000000003E-3</v>
      </c>
      <c r="I29">
        <v>0.19400000000000001</v>
      </c>
      <c r="J29" s="24">
        <v>2.5123000000000013E-2</v>
      </c>
      <c r="K29">
        <v>2.5123000000000013E-2</v>
      </c>
      <c r="L29" s="24">
        <v>2.6359248767180786E-2</v>
      </c>
    </row>
    <row r="30" spans="1:13" hidden="1">
      <c r="C30" t="s">
        <v>194</v>
      </c>
      <c r="D30" t="s">
        <v>195</v>
      </c>
      <c r="E30" t="s">
        <v>196</v>
      </c>
      <c r="F30" t="s">
        <v>67</v>
      </c>
      <c r="G30">
        <v>89.49</v>
      </c>
      <c r="H30">
        <v>6.3E-3</v>
      </c>
      <c r="I30">
        <v>0.126</v>
      </c>
      <c r="J30" s="24">
        <v>1.6317000000000009E-2</v>
      </c>
      <c r="K30">
        <v>1.6317000000000009E-2</v>
      </c>
      <c r="L30" s="24">
        <v>1.7119924457034943E-2</v>
      </c>
    </row>
    <row r="31" spans="1:13">
      <c r="A31" t="s">
        <v>52</v>
      </c>
      <c r="B31" t="s">
        <v>53</v>
      </c>
      <c r="C31" t="s">
        <v>49</v>
      </c>
      <c r="D31" t="s">
        <v>50</v>
      </c>
      <c r="E31" t="s">
        <v>51</v>
      </c>
      <c r="F31" t="s">
        <v>97</v>
      </c>
      <c r="G31">
        <v>88.03</v>
      </c>
      <c r="H31">
        <v>2.1899999999999999E-2</v>
      </c>
      <c r="I31">
        <v>0.46595744680851064</v>
      </c>
      <c r="J31" s="24">
        <v>4.1936170212765966E-2</v>
      </c>
      <c r="K31">
        <v>4.1936170212765966E-2</v>
      </c>
      <c r="L31" s="24">
        <v>4.3999758905430654E-2</v>
      </c>
      <c r="M31" s="24">
        <f>SUM(L31:L34)</f>
        <v>9.4428706326723302E-2</v>
      </c>
    </row>
    <row r="32" spans="1:13" hidden="1">
      <c r="C32" t="s">
        <v>116</v>
      </c>
      <c r="D32" t="s">
        <v>117</v>
      </c>
      <c r="E32" t="s">
        <v>118</v>
      </c>
      <c r="F32" t="s">
        <v>67</v>
      </c>
      <c r="G32">
        <v>86.73</v>
      </c>
      <c r="H32">
        <v>1.2699999999999999E-2</v>
      </c>
      <c r="I32">
        <v>0.27021276595744681</v>
      </c>
      <c r="J32" s="24">
        <v>2.4319148936170217E-2</v>
      </c>
      <c r="K32">
        <v>2.4319148936170217E-2</v>
      </c>
      <c r="L32" s="24">
        <v>2.5515841922327361E-2</v>
      </c>
    </row>
    <row r="33" spans="1:13" hidden="1">
      <c r="C33" t="s">
        <v>181</v>
      </c>
      <c r="D33" t="s">
        <v>182</v>
      </c>
      <c r="E33" t="s">
        <v>183</v>
      </c>
      <c r="F33" t="s">
        <v>47</v>
      </c>
      <c r="G33">
        <v>84</v>
      </c>
      <c r="H33">
        <v>8.2000000000000007E-3</v>
      </c>
      <c r="I33">
        <v>0.17446808510638298</v>
      </c>
      <c r="J33" s="24">
        <v>1.5702127659574471E-2</v>
      </c>
      <c r="K33">
        <v>1.5702127659574471E-2</v>
      </c>
      <c r="L33" s="24">
        <v>1.6474795571896409E-2</v>
      </c>
    </row>
    <row r="34" spans="1:13" hidden="1">
      <c r="C34" t="s">
        <v>203</v>
      </c>
      <c r="D34" t="s">
        <v>204</v>
      </c>
      <c r="E34" t="s">
        <v>205</v>
      </c>
      <c r="F34" t="s">
        <v>47</v>
      </c>
      <c r="G34">
        <v>92.82</v>
      </c>
      <c r="H34">
        <v>4.1999999999999997E-3</v>
      </c>
      <c r="I34">
        <v>8.9361702127659565E-2</v>
      </c>
      <c r="J34" s="24">
        <v>8.0425531914893617E-3</v>
      </c>
      <c r="K34">
        <v>8.0425531914893617E-3</v>
      </c>
      <c r="L34" s="24">
        <v>8.4383099270688901E-3</v>
      </c>
    </row>
    <row r="35" spans="1:13">
      <c r="A35" t="s">
        <v>52</v>
      </c>
      <c r="B35" t="s">
        <v>93</v>
      </c>
      <c r="C35" t="s">
        <v>206</v>
      </c>
      <c r="D35" t="s">
        <v>207</v>
      </c>
      <c r="E35" t="s">
        <v>208</v>
      </c>
      <c r="F35" t="s">
        <v>190</v>
      </c>
      <c r="G35">
        <v>85.83</v>
      </c>
      <c r="H35">
        <v>3.0000000000000001E-3</v>
      </c>
      <c r="I35">
        <v>1</v>
      </c>
      <c r="J35" s="24">
        <v>1.0400000000000003E-2</v>
      </c>
      <c r="K35">
        <v>1.0400000000000003E-2</v>
      </c>
      <c r="L35" s="24">
        <v>1.0911761619976918E-2</v>
      </c>
      <c r="M35" s="24">
        <f>SUM(L35)</f>
        <v>1.0911761619976918E-2</v>
      </c>
    </row>
    <row r="36" spans="1:13">
      <c r="A36" t="s">
        <v>75</v>
      </c>
      <c r="B36" t="s">
        <v>103</v>
      </c>
      <c r="C36" t="s">
        <v>212</v>
      </c>
      <c r="D36" t="s">
        <v>213</v>
      </c>
      <c r="E36" t="s">
        <v>214</v>
      </c>
      <c r="F36" t="s">
        <v>88</v>
      </c>
      <c r="G36">
        <v>89.92</v>
      </c>
      <c r="H36">
        <v>3.3E-3</v>
      </c>
      <c r="I36">
        <v>0.5</v>
      </c>
      <c r="J36" s="24">
        <v>2.8049999999999995E-2</v>
      </c>
      <c r="K36">
        <v>2.8049999999999995E-2</v>
      </c>
      <c r="L36" s="24">
        <v>2.9430280138495423E-2</v>
      </c>
      <c r="M36" s="24">
        <f>SUM(L36:L37)</f>
        <v>5.8860560276990846E-2</v>
      </c>
    </row>
    <row r="37" spans="1:13" hidden="1">
      <c r="C37" t="s">
        <v>215</v>
      </c>
      <c r="D37" t="s">
        <v>216</v>
      </c>
      <c r="E37" t="s">
        <v>217</v>
      </c>
      <c r="F37" t="s">
        <v>88</v>
      </c>
      <c r="G37">
        <v>91.49</v>
      </c>
      <c r="H37">
        <v>3.3E-3</v>
      </c>
      <c r="I37">
        <v>0.5</v>
      </c>
      <c r="J37" s="24">
        <v>2.8049999999999995E-2</v>
      </c>
      <c r="K37">
        <v>2.8049999999999995E-2</v>
      </c>
      <c r="L37" s="24">
        <v>2.9430280138495423E-2</v>
      </c>
    </row>
    <row r="38" spans="1:13">
      <c r="A38" t="s">
        <v>75</v>
      </c>
      <c r="B38" t="s">
        <v>111</v>
      </c>
      <c r="C38" t="s">
        <v>221</v>
      </c>
      <c r="D38" t="s">
        <v>222</v>
      </c>
      <c r="E38" t="s">
        <v>223</v>
      </c>
      <c r="F38" t="s">
        <v>58</v>
      </c>
      <c r="G38">
        <v>75.88</v>
      </c>
      <c r="H38">
        <v>4.5999999999999999E-3</v>
      </c>
      <c r="I38">
        <v>1</v>
      </c>
      <c r="J38" s="24">
        <v>1.4499999999999996E-2</v>
      </c>
      <c r="K38">
        <v>1.4499999999999996E-2</v>
      </c>
      <c r="L38" s="24">
        <v>1.5213513797083193E-2</v>
      </c>
      <c r="M38" s="24">
        <f>SUM(L38)</f>
        <v>1.5213513797083193E-2</v>
      </c>
    </row>
    <row r="39" spans="1:13">
      <c r="A39" t="s">
        <v>75</v>
      </c>
      <c r="B39" t="s">
        <v>119</v>
      </c>
      <c r="C39" t="s">
        <v>224</v>
      </c>
      <c r="D39" t="s">
        <v>225</v>
      </c>
      <c r="E39" t="s">
        <v>226</v>
      </c>
      <c r="F39" t="s">
        <v>58</v>
      </c>
      <c r="G39">
        <v>88.36</v>
      </c>
      <c r="H39">
        <v>2.7000000000000001E-3</v>
      </c>
      <c r="I39">
        <v>1</v>
      </c>
      <c r="J39" s="24">
        <v>8.2000000000000007E-3</v>
      </c>
      <c r="K39">
        <v>8.2000000000000007E-3</v>
      </c>
      <c r="L39" s="24">
        <v>8.6035043542125669E-3</v>
      </c>
      <c r="M39" s="24">
        <f>SUM(L39)</f>
        <v>8.6035043542125669E-3</v>
      </c>
    </row>
    <row r="40" spans="1:13">
      <c r="A40" t="s">
        <v>30</v>
      </c>
      <c r="B40" t="s">
        <v>42</v>
      </c>
      <c r="C40" t="s">
        <v>39</v>
      </c>
      <c r="D40" t="s">
        <v>40</v>
      </c>
      <c r="E40" t="s">
        <v>41</v>
      </c>
      <c r="F40" t="s">
        <v>190</v>
      </c>
      <c r="G40">
        <v>74.400000000000006</v>
      </c>
      <c r="H40">
        <v>2.1999999999999999E-2</v>
      </c>
      <c r="I40">
        <v>0.859375</v>
      </c>
      <c r="J40" s="24">
        <v>3.0851562499999995E-2</v>
      </c>
      <c r="K40">
        <v>3.0851562499999995E-2</v>
      </c>
      <c r="L40" s="24">
        <v>3.2369701500367207E-2</v>
      </c>
      <c r="M40" s="24">
        <f>SUM(L40:L41)</f>
        <v>3.7666561745881844E-2</v>
      </c>
    </row>
    <row r="41" spans="1:13">
      <c r="C41" t="s">
        <v>232</v>
      </c>
      <c r="D41" t="s">
        <v>233</v>
      </c>
      <c r="E41" t="s">
        <v>234</v>
      </c>
      <c r="F41" t="s">
        <v>88</v>
      </c>
      <c r="G41">
        <v>76.83</v>
      </c>
      <c r="H41">
        <v>3.5999999999999999E-3</v>
      </c>
      <c r="I41">
        <v>0.140625</v>
      </c>
      <c r="J41" s="24">
        <v>5.0484374999999991E-3</v>
      </c>
      <c r="K41">
        <v>5.0484374999999991E-3</v>
      </c>
      <c r="L41" s="24">
        <v>5.2968602455146343E-3</v>
      </c>
    </row>
    <row r="42" spans="1:13">
      <c r="A42" t="s">
        <v>30</v>
      </c>
      <c r="B42" t="s">
        <v>31</v>
      </c>
      <c r="C42" t="s">
        <v>27</v>
      </c>
      <c r="D42" t="s">
        <v>28</v>
      </c>
      <c r="E42" t="s">
        <v>29</v>
      </c>
      <c r="F42" t="s">
        <v>88</v>
      </c>
      <c r="G42">
        <v>86.71</v>
      </c>
      <c r="H42">
        <v>2.3699999999999999E-2</v>
      </c>
      <c r="I42">
        <v>1</v>
      </c>
      <c r="J42" s="24">
        <v>3.2899999999999999E-2</v>
      </c>
      <c r="K42">
        <v>3.2899999999999999E-2</v>
      </c>
      <c r="L42" s="24">
        <v>3.4518938201657738E-2</v>
      </c>
      <c r="M42" s="24">
        <f>SUM(L42)</f>
        <v>3.4518938201657738E-2</v>
      </c>
    </row>
    <row r="43" spans="1:13">
      <c r="A43" t="s">
        <v>89</v>
      </c>
      <c r="B43" t="s">
        <v>89</v>
      </c>
      <c r="C43" t="s">
        <v>152</v>
      </c>
      <c r="D43" t="s">
        <v>153</v>
      </c>
      <c r="E43" t="s">
        <v>154</v>
      </c>
      <c r="F43" t="s">
        <v>47</v>
      </c>
      <c r="G43">
        <v>81.2</v>
      </c>
      <c r="H43">
        <v>9.4000000000000004E-3</v>
      </c>
      <c r="I43">
        <v>1</v>
      </c>
      <c r="J43" s="24">
        <v>6.2999999999999987E-2</v>
      </c>
      <c r="K43">
        <v>6.2999999999999987E-2</v>
      </c>
      <c r="L43" s="53">
        <v>3.72872327546548E-2</v>
      </c>
      <c r="M43" s="24">
        <f>SUM(L43:L44)</f>
        <v>6.6100094428706305E-2</v>
      </c>
    </row>
    <row r="44" spans="1:13" ht="0.75" customHeight="1">
      <c r="L44" s="53">
        <v>2.8812861674051501E-2</v>
      </c>
    </row>
    <row r="45" spans="1:13">
      <c r="A45" t="s">
        <v>98</v>
      </c>
      <c r="B45" t="s">
        <v>148</v>
      </c>
      <c r="C45" t="s">
        <v>246</v>
      </c>
      <c r="D45" t="s">
        <v>247</v>
      </c>
      <c r="E45" t="s">
        <v>248</v>
      </c>
      <c r="F45" t="s">
        <v>249</v>
      </c>
      <c r="G45">
        <v>69.03</v>
      </c>
      <c r="H45">
        <v>1.1999999999999999E-3</v>
      </c>
      <c r="I45">
        <v>1</v>
      </c>
      <c r="J45" s="24">
        <v>1.1999999999999999E-3</v>
      </c>
      <c r="K45">
        <v>1.1999999999999999E-3</v>
      </c>
      <c r="L45" s="24">
        <v>1.2590494176896439E-3</v>
      </c>
      <c r="M45" s="24">
        <f>SUM(L45)</f>
        <v>1.2590494176896439E-3</v>
      </c>
    </row>
    <row r="46" spans="1:13">
      <c r="A46" t="s">
        <v>98</v>
      </c>
      <c r="B46" t="s">
        <v>101</v>
      </c>
      <c r="L46" s="24"/>
      <c r="M46" s="24">
        <v>0</v>
      </c>
    </row>
    <row r="47" spans="1:13">
      <c r="A47" t="s">
        <v>107</v>
      </c>
      <c r="B47" t="s">
        <v>107</v>
      </c>
      <c r="C47" t="s">
        <v>175</v>
      </c>
      <c r="D47" t="s">
        <v>176</v>
      </c>
      <c r="E47" t="s">
        <v>177</v>
      </c>
      <c r="F47" t="s">
        <v>58</v>
      </c>
      <c r="G47">
        <v>85.52</v>
      </c>
      <c r="H47">
        <v>8.2000000000000007E-3</v>
      </c>
      <c r="I47">
        <v>0.6029411764705882</v>
      </c>
      <c r="J47" s="24">
        <v>2.5263235294117652E-2</v>
      </c>
      <c r="K47">
        <v>2.5263235294117652E-2</v>
      </c>
      <c r="L47" s="24">
        <v>2.6506384738346076E-2</v>
      </c>
      <c r="M47" s="24">
        <f>SUM(L47:L48)</f>
        <v>4.3961808834330082E-2</v>
      </c>
    </row>
    <row r="48" spans="1:13">
      <c r="C48" t="s">
        <v>256</v>
      </c>
      <c r="D48" t="s">
        <v>257</v>
      </c>
      <c r="E48" t="s">
        <v>258</v>
      </c>
      <c r="F48" t="s">
        <v>38</v>
      </c>
      <c r="G48">
        <v>88.75</v>
      </c>
      <c r="H48">
        <v>5.4000000000000003E-3</v>
      </c>
      <c r="I48">
        <v>0.39705882352941174</v>
      </c>
      <c r="J48" s="24">
        <v>1.6636764705882358E-2</v>
      </c>
      <c r="K48">
        <v>1.6636764705882358E-2</v>
      </c>
      <c r="L48" s="24">
        <v>1.7455424095984003E-2</v>
      </c>
    </row>
    <row r="49" spans="1:13">
      <c r="A49" t="s">
        <v>115</v>
      </c>
      <c r="B49" t="s">
        <v>147</v>
      </c>
      <c r="C49" t="s">
        <v>144</v>
      </c>
      <c r="D49" t="s">
        <v>145</v>
      </c>
      <c r="E49" t="s">
        <v>146</v>
      </c>
      <c r="F49" t="s">
        <v>88</v>
      </c>
      <c r="G49">
        <v>80.55</v>
      </c>
      <c r="H49">
        <v>1.04E-2</v>
      </c>
      <c r="I49">
        <v>1</v>
      </c>
      <c r="J49" s="24">
        <v>2.3200000000000002E-2</v>
      </c>
      <c r="K49">
        <v>2.3200000000000002E-2</v>
      </c>
      <c r="L49" s="24">
        <v>2.4341622075333118E-2</v>
      </c>
      <c r="M49" s="24">
        <f>SUM(L49)</f>
        <v>2.4341622075333118E-2</v>
      </c>
    </row>
    <row r="50" spans="1:13">
      <c r="A50" t="s">
        <v>115</v>
      </c>
      <c r="B50" t="s">
        <v>158</v>
      </c>
      <c r="C50" t="s">
        <v>261</v>
      </c>
      <c r="D50" t="s">
        <v>262</v>
      </c>
      <c r="E50" t="s">
        <v>263</v>
      </c>
      <c r="F50" t="s">
        <v>47</v>
      </c>
      <c r="G50">
        <v>81.77</v>
      </c>
      <c r="H50">
        <v>1.9E-3</v>
      </c>
      <c r="I50">
        <v>1</v>
      </c>
      <c r="J50" s="24">
        <v>1.5999999999999997E-2</v>
      </c>
      <c r="K50">
        <v>1.5999999999999997E-2</v>
      </c>
      <c r="L50" s="24">
        <v>1.6787325569195249E-2</v>
      </c>
      <c r="M50" s="24">
        <f>SUM(L50)</f>
        <v>1.6787325569195249E-2</v>
      </c>
    </row>
    <row r="51" spans="1:13">
      <c r="A51" s="98" t="s">
        <v>123</v>
      </c>
      <c r="B51" s="98" t="s">
        <v>123</v>
      </c>
      <c r="C51" s="98" t="s">
        <v>264</v>
      </c>
      <c r="D51" s="98" t="s">
        <v>265</v>
      </c>
      <c r="E51" s="98" t="s">
        <v>266</v>
      </c>
      <c r="F51" s="98" t="s">
        <v>88</v>
      </c>
      <c r="G51" s="98">
        <v>86.02</v>
      </c>
      <c r="H51" s="98">
        <v>1.9E-3</v>
      </c>
      <c r="I51" s="98">
        <v>0.73076923076923084</v>
      </c>
      <c r="J51" s="105">
        <v>9.2807692307692331E-3</v>
      </c>
      <c r="K51" s="98">
        <v>9.2807692307692331E-3</v>
      </c>
      <c r="L51" s="105">
        <v>1.3299999999999999E-2</v>
      </c>
      <c r="M51" s="105">
        <f>SUM(L51:L52)</f>
        <v>1.3299999999999999E-2</v>
      </c>
    </row>
    <row r="52" spans="1:13">
      <c r="C52" t="s">
        <v>789</v>
      </c>
      <c r="D52" t="s">
        <v>790</v>
      </c>
      <c r="E52" t="s">
        <v>791</v>
      </c>
      <c r="F52" t="s">
        <v>47</v>
      </c>
      <c r="G52">
        <v>89.3</v>
      </c>
      <c r="H52">
        <v>6.9999999999999999E-4</v>
      </c>
      <c r="I52">
        <v>0.26923076923076922</v>
      </c>
      <c r="J52" s="24">
        <v>3.4192307692307699E-3</v>
      </c>
      <c r="K52">
        <v>3.4192307692307699E-3</v>
      </c>
      <c r="L52" s="24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BC9B6-8C47-4579-8066-082082FAF648}">
  <sheetPr>
    <tabColor theme="9" tint="0.79998168889431442"/>
  </sheetPr>
  <dimension ref="A1:BE49"/>
  <sheetViews>
    <sheetView workbookViewId="0">
      <pane xSplit="2" ySplit="1" topLeftCell="C2" activePane="bottomRight" state="frozen"/>
      <selection pane="bottomRight" activeCell="G11" sqref="G11"/>
      <selection pane="bottomLeft"/>
      <selection pane="topRight"/>
    </sheetView>
  </sheetViews>
  <sheetFormatPr defaultRowHeight="15"/>
  <cols>
    <col min="1" max="1" width="11.85546875" style="104" bestFit="1" customWidth="1"/>
    <col min="2" max="2" width="16.5703125" style="104" bestFit="1" customWidth="1"/>
    <col min="3" max="3" width="13.5703125" style="62" bestFit="1" customWidth="1"/>
    <col min="4" max="12" width="12.5703125" style="62" bestFit="1" customWidth="1"/>
    <col min="13" max="15" width="13.5703125" style="62" bestFit="1" customWidth="1"/>
    <col min="16" max="24" width="12.5703125" style="62" bestFit="1" customWidth="1"/>
    <col min="25" max="27" width="13.5703125" style="62" bestFit="1" customWidth="1"/>
    <col min="28" max="36" width="12.5703125" style="62" bestFit="1" customWidth="1"/>
    <col min="37" max="39" width="13.5703125" style="62" bestFit="1" customWidth="1"/>
    <col min="40" max="48" width="12.5703125" style="62" bestFit="1" customWidth="1"/>
    <col min="49" max="51" width="13.5703125" style="62" bestFit="1" customWidth="1"/>
    <col min="52" max="57" width="12.5703125" style="62" bestFit="1" customWidth="1"/>
    <col min="58" max="16384" width="9.140625" style="62"/>
  </cols>
  <sheetData>
    <row r="1" spans="1:57">
      <c r="A1" s="104" t="s">
        <v>16</v>
      </c>
      <c r="B1" s="104" t="s">
        <v>1857</v>
      </c>
      <c r="C1" s="62" t="s">
        <v>1858</v>
      </c>
      <c r="D1" s="62" t="s">
        <v>1859</v>
      </c>
      <c r="E1" s="62" t="s">
        <v>1860</v>
      </c>
      <c r="F1" s="62" t="s">
        <v>1861</v>
      </c>
      <c r="G1" s="62" t="s">
        <v>1862</v>
      </c>
      <c r="H1" s="62" t="s">
        <v>1863</v>
      </c>
      <c r="I1" s="62" t="s">
        <v>1864</v>
      </c>
      <c r="J1" s="62" t="s">
        <v>1865</v>
      </c>
      <c r="K1" s="62" t="s">
        <v>1866</v>
      </c>
      <c r="L1" s="62" t="s">
        <v>1867</v>
      </c>
      <c r="M1" s="62" t="s">
        <v>1868</v>
      </c>
      <c r="N1" s="62" t="s">
        <v>1869</v>
      </c>
      <c r="O1" s="62" t="s">
        <v>1870</v>
      </c>
      <c r="P1" s="62" t="s">
        <v>1871</v>
      </c>
      <c r="Q1" s="62" t="s">
        <v>1872</v>
      </c>
      <c r="R1" s="62" t="s">
        <v>1873</v>
      </c>
      <c r="S1" s="62" t="s">
        <v>1874</v>
      </c>
      <c r="T1" s="62" t="s">
        <v>1875</v>
      </c>
      <c r="U1" s="62" t="s">
        <v>1876</v>
      </c>
      <c r="V1" s="62" t="s">
        <v>1877</v>
      </c>
      <c r="W1" s="62" t="s">
        <v>1878</v>
      </c>
      <c r="X1" s="62" t="s">
        <v>1879</v>
      </c>
      <c r="Y1" s="62" t="s">
        <v>1880</v>
      </c>
      <c r="Z1" s="62" t="s">
        <v>1881</v>
      </c>
      <c r="AA1" s="62" t="s">
        <v>1882</v>
      </c>
      <c r="AB1" s="62" t="s">
        <v>1883</v>
      </c>
      <c r="AC1" s="62" t="s">
        <v>1884</v>
      </c>
      <c r="AD1" s="62" t="s">
        <v>1885</v>
      </c>
      <c r="AE1" s="62" t="s">
        <v>1886</v>
      </c>
      <c r="AF1" s="62" t="s">
        <v>1887</v>
      </c>
      <c r="AG1" s="62" t="s">
        <v>1888</v>
      </c>
      <c r="AH1" s="62" t="s">
        <v>1889</v>
      </c>
      <c r="AI1" s="62" t="s">
        <v>1890</v>
      </c>
      <c r="AJ1" s="62" t="s">
        <v>1891</v>
      </c>
      <c r="AK1" s="62" t="s">
        <v>1892</v>
      </c>
      <c r="AL1" s="62" t="s">
        <v>1893</v>
      </c>
      <c r="AM1" s="62" t="s">
        <v>1894</v>
      </c>
      <c r="AN1" s="62" t="s">
        <v>1895</v>
      </c>
      <c r="AO1" s="62" t="s">
        <v>1896</v>
      </c>
      <c r="AP1" s="62" t="s">
        <v>1897</v>
      </c>
      <c r="AQ1" s="62" t="s">
        <v>1898</v>
      </c>
      <c r="AR1" s="62" t="s">
        <v>1899</v>
      </c>
      <c r="AS1" s="62" t="s">
        <v>1900</v>
      </c>
      <c r="AT1" s="62" t="s">
        <v>1901</v>
      </c>
      <c r="AU1" s="62" t="s">
        <v>1902</v>
      </c>
      <c r="AV1" s="62" t="s">
        <v>1903</v>
      </c>
      <c r="AW1" s="62" t="s">
        <v>1904</v>
      </c>
      <c r="AX1" s="62" t="s">
        <v>1905</v>
      </c>
      <c r="AY1" s="62" t="s">
        <v>1906</v>
      </c>
      <c r="AZ1" s="62" t="s">
        <v>1907</v>
      </c>
      <c r="BA1" s="62" t="s">
        <v>1908</v>
      </c>
      <c r="BB1" s="62" t="s">
        <v>1909</v>
      </c>
      <c r="BC1" s="62" t="s">
        <v>1910</v>
      </c>
      <c r="BD1" s="62" t="s">
        <v>1911</v>
      </c>
      <c r="BE1" s="62" t="s">
        <v>1912</v>
      </c>
    </row>
    <row r="2" spans="1:57">
      <c r="A2" s="104" t="s">
        <v>36</v>
      </c>
      <c r="B2" s="104" t="s">
        <v>37</v>
      </c>
      <c r="C2" s="62">
        <v>1.3163</v>
      </c>
      <c r="D2" s="62">
        <v>1.2423999999999999</v>
      </c>
      <c r="E2" s="62">
        <v>1.4686999999999999</v>
      </c>
      <c r="F2" s="62">
        <v>1.5902000000000001</v>
      </c>
      <c r="G2" s="62">
        <v>1.5973999999999999</v>
      </c>
      <c r="H2" s="62">
        <v>1.6884999999999999</v>
      </c>
      <c r="I2" s="62">
        <v>1.6277999999999999</v>
      </c>
      <c r="J2" s="62">
        <v>1.6292</v>
      </c>
      <c r="K2" s="62">
        <v>1.6753</v>
      </c>
      <c r="L2" s="62">
        <v>1.7143999999999999</v>
      </c>
      <c r="M2" s="62">
        <v>1.7863</v>
      </c>
      <c r="N2" s="62">
        <v>1.5857000000000001</v>
      </c>
      <c r="O2" s="62">
        <v>1.7044999999999999</v>
      </c>
      <c r="P2" s="62">
        <v>1.9634</v>
      </c>
      <c r="Q2" s="62">
        <v>1.7191000000000001</v>
      </c>
      <c r="R2" s="62">
        <v>1.5617000000000001</v>
      </c>
      <c r="S2" s="62">
        <v>1.4652000000000001</v>
      </c>
      <c r="T2" s="62">
        <v>1.585</v>
      </c>
      <c r="U2" s="62">
        <v>1.3895</v>
      </c>
      <c r="V2" s="62">
        <v>1.3492999999999999</v>
      </c>
      <c r="W2" s="62">
        <v>1.345</v>
      </c>
      <c r="X2" s="62">
        <v>1.3291999999999999</v>
      </c>
      <c r="Y2" s="62">
        <v>1.5058</v>
      </c>
      <c r="Z2" s="62">
        <v>1.7135</v>
      </c>
      <c r="AA2" s="62">
        <v>1.6779999999999999</v>
      </c>
      <c r="AB2" s="62">
        <v>1.946</v>
      </c>
      <c r="AC2" s="62">
        <v>2.0684</v>
      </c>
      <c r="AD2" s="62">
        <v>1.9117</v>
      </c>
      <c r="AE2" s="62">
        <v>1.9255</v>
      </c>
      <c r="AF2" s="62">
        <v>1.8079000000000001</v>
      </c>
      <c r="AG2" s="62">
        <v>2.0129999999999999</v>
      </c>
      <c r="AH2" s="62">
        <v>2.2050999999999998</v>
      </c>
      <c r="AI2" s="62">
        <v>2.0733999999999999</v>
      </c>
      <c r="AJ2" s="62">
        <v>2.0466000000000002</v>
      </c>
      <c r="AK2" s="62">
        <v>2.0604</v>
      </c>
      <c r="AL2" s="62">
        <v>2.3412000000000002</v>
      </c>
      <c r="AM2" s="62">
        <v>2.3429000000000002</v>
      </c>
      <c r="AN2" s="62">
        <v>2.5375000000000001</v>
      </c>
      <c r="AO2" s="62">
        <v>2.6040000000000001</v>
      </c>
      <c r="AP2" s="62">
        <v>2.9805999999999999</v>
      </c>
      <c r="AQ2" s="62">
        <v>3.1251000000000002</v>
      </c>
      <c r="AR2" s="62">
        <v>3.3302999999999998</v>
      </c>
      <c r="AS2" s="62">
        <v>3.2056</v>
      </c>
      <c r="AT2" s="62">
        <v>3.4638</v>
      </c>
      <c r="AU2" s="62">
        <v>3.4767000000000001</v>
      </c>
      <c r="AV2" s="62">
        <v>3.5440999999999998</v>
      </c>
      <c r="AW2" s="62">
        <v>3.6360000000000001</v>
      </c>
      <c r="AX2" s="62">
        <v>3.5024000000000002</v>
      </c>
      <c r="AY2" s="62">
        <v>3.7303000000000002</v>
      </c>
      <c r="AZ2" s="62">
        <v>4.0488999999999997</v>
      </c>
      <c r="BA2" s="62">
        <v>4.5704000000000002</v>
      </c>
      <c r="BB2" s="62">
        <v>4.5712999999999999</v>
      </c>
      <c r="BC2" s="62">
        <v>4.5210999999999997</v>
      </c>
      <c r="BD2" s="62">
        <v>4.91</v>
      </c>
      <c r="BE2" s="62">
        <v>4.8914999999999997</v>
      </c>
    </row>
    <row r="3" spans="1:57">
      <c r="A3" s="104" t="s">
        <v>45</v>
      </c>
      <c r="B3" s="104" t="s">
        <v>46</v>
      </c>
      <c r="C3" s="62">
        <v>31.510400000000001</v>
      </c>
      <c r="D3" s="62">
        <v>29.079799999999999</v>
      </c>
      <c r="E3" s="62">
        <v>36.020699999999998</v>
      </c>
      <c r="F3" s="62">
        <v>37.924999999999997</v>
      </c>
      <c r="G3" s="62">
        <v>39.0289</v>
      </c>
      <c r="H3" s="62">
        <v>41.6492</v>
      </c>
      <c r="I3" s="62">
        <v>39.426900000000003</v>
      </c>
      <c r="J3" s="62">
        <v>38.368000000000002</v>
      </c>
      <c r="K3" s="62">
        <v>40.068199999999997</v>
      </c>
      <c r="L3" s="62">
        <v>42.509599999999999</v>
      </c>
      <c r="M3" s="62">
        <v>44.395899999999997</v>
      </c>
      <c r="N3" s="62">
        <v>42.233600000000003</v>
      </c>
      <c r="O3" s="62">
        <v>46.596499999999999</v>
      </c>
      <c r="P3" s="62">
        <v>48.306399999999996</v>
      </c>
      <c r="Q3" s="62">
        <v>40.262999999999998</v>
      </c>
      <c r="R3" s="62">
        <v>39.818300000000001</v>
      </c>
      <c r="S3" s="62">
        <v>38.112200000000001</v>
      </c>
      <c r="T3" s="62">
        <v>43.709800000000001</v>
      </c>
      <c r="U3" s="62">
        <v>37.335599999999999</v>
      </c>
      <c r="V3" s="62">
        <v>37.858199999999997</v>
      </c>
      <c r="W3" s="62">
        <v>38.257399999999997</v>
      </c>
      <c r="X3" s="62">
        <v>35.887099999999997</v>
      </c>
      <c r="Y3" s="62">
        <v>39.0886</v>
      </c>
      <c r="Z3" s="62">
        <v>43.973100000000002</v>
      </c>
      <c r="AA3" s="62">
        <v>43.825000000000003</v>
      </c>
      <c r="AB3" s="62">
        <v>51.767000000000003</v>
      </c>
      <c r="AC3" s="62">
        <v>54.441699999999997</v>
      </c>
      <c r="AD3" s="62">
        <v>45.438099999999999</v>
      </c>
      <c r="AE3" s="62">
        <v>48.219799999999999</v>
      </c>
      <c r="AF3" s="62">
        <v>47.548900000000003</v>
      </c>
      <c r="AG3" s="62">
        <v>50.815100000000001</v>
      </c>
      <c r="AH3" s="62">
        <v>52.8399</v>
      </c>
      <c r="AI3" s="62">
        <v>52.567</v>
      </c>
      <c r="AJ3" s="62">
        <v>53.200899999999997</v>
      </c>
      <c r="AK3" s="62">
        <v>47.795400000000001</v>
      </c>
      <c r="AL3" s="62">
        <v>50.859099999999998</v>
      </c>
      <c r="AM3" s="62">
        <v>55.102499999999999</v>
      </c>
      <c r="AN3" s="62">
        <v>55.067300000000003</v>
      </c>
      <c r="AO3" s="62">
        <v>48.755000000000003</v>
      </c>
      <c r="AP3" s="62">
        <v>57.981299999999997</v>
      </c>
      <c r="AQ3" s="62">
        <v>59.521999999999998</v>
      </c>
      <c r="AR3" s="62">
        <v>63.615299999999998</v>
      </c>
      <c r="AS3" s="62">
        <v>55.938299999999998</v>
      </c>
      <c r="AT3" s="62">
        <v>59.631100000000004</v>
      </c>
      <c r="AU3" s="62">
        <v>58.804200000000002</v>
      </c>
      <c r="AV3" s="62">
        <v>57.836399999999998</v>
      </c>
      <c r="AW3" s="62">
        <v>58.963999999999999</v>
      </c>
      <c r="AX3" s="62">
        <v>53.2226</v>
      </c>
      <c r="AY3" s="62">
        <v>55.646999999999998</v>
      </c>
      <c r="AZ3" s="62">
        <v>61.754800000000003</v>
      </c>
      <c r="BA3" s="62">
        <v>68.463999999999999</v>
      </c>
      <c r="BB3" s="62">
        <v>72.269599999999997</v>
      </c>
      <c r="BC3" s="62">
        <v>69.807699999999997</v>
      </c>
      <c r="BD3" s="62">
        <v>77.14</v>
      </c>
      <c r="BE3" s="62">
        <v>76.319999999999993</v>
      </c>
    </row>
    <row r="4" spans="1:57">
      <c r="A4" s="104" t="s">
        <v>56</v>
      </c>
      <c r="B4" s="104" t="s">
        <v>57</v>
      </c>
      <c r="C4" s="62">
        <v>3.0760999999999998</v>
      </c>
      <c r="D4" s="62">
        <v>2.8717000000000001</v>
      </c>
      <c r="E4" s="62">
        <v>3.5091000000000001</v>
      </c>
      <c r="F4" s="62">
        <v>3.3740999999999999</v>
      </c>
      <c r="G4" s="62">
        <v>3.6080999999999999</v>
      </c>
      <c r="H4" s="62">
        <v>3.9676999999999998</v>
      </c>
      <c r="I4" s="62">
        <v>4.0387000000000004</v>
      </c>
      <c r="J4" s="62">
        <v>4.1801000000000004</v>
      </c>
      <c r="K4" s="62">
        <v>4.2851999999999997</v>
      </c>
      <c r="L4" s="62">
        <v>4.4165000000000001</v>
      </c>
      <c r="M4" s="62">
        <v>4.7458999999999998</v>
      </c>
      <c r="N4" s="62">
        <v>3.6815000000000002</v>
      </c>
      <c r="O4" s="62">
        <v>4.1101999999999999</v>
      </c>
      <c r="P4" s="62">
        <v>4.4108000000000001</v>
      </c>
      <c r="Q4" s="62">
        <v>4.1414999999999997</v>
      </c>
      <c r="R4" s="62">
        <v>4.0789</v>
      </c>
      <c r="S4" s="62">
        <v>4.1421000000000001</v>
      </c>
      <c r="T4" s="62">
        <v>4.1585000000000001</v>
      </c>
      <c r="U4" s="62">
        <v>3.5455999999999999</v>
      </c>
      <c r="V4" s="62">
        <v>3.6164999999999998</v>
      </c>
      <c r="W4" s="62">
        <v>3.6775000000000002</v>
      </c>
      <c r="X4" s="62">
        <v>3.7831000000000001</v>
      </c>
      <c r="Y4" s="62">
        <v>4.3742999999999999</v>
      </c>
      <c r="Z4" s="62">
        <v>4.7126999999999999</v>
      </c>
      <c r="AA4" s="62">
        <v>4.7312000000000003</v>
      </c>
      <c r="AB4" s="62">
        <v>5.4272999999999998</v>
      </c>
      <c r="AC4" s="62">
        <v>6.1914999999999996</v>
      </c>
      <c r="AD4" s="62">
        <v>5.5179999999999998</v>
      </c>
      <c r="AE4" s="62">
        <v>5.8609</v>
      </c>
      <c r="AF4" s="62">
        <v>5.3937999999999997</v>
      </c>
      <c r="AG4" s="62">
        <v>6.1974999999999998</v>
      </c>
      <c r="AH4" s="62">
        <v>6.3544</v>
      </c>
      <c r="AI4" s="62">
        <v>6.4038000000000004</v>
      </c>
      <c r="AJ4" s="62">
        <v>6.7950999999999997</v>
      </c>
      <c r="AK4" s="62">
        <v>6.6805000000000003</v>
      </c>
      <c r="AL4" s="62">
        <v>7.6562000000000001</v>
      </c>
      <c r="AM4" s="62">
        <v>7.4042000000000003</v>
      </c>
      <c r="AN4" s="62">
        <v>7.8091999999999997</v>
      </c>
      <c r="AO4" s="62">
        <v>8.2683</v>
      </c>
      <c r="AP4" s="62">
        <v>9.9370999999999992</v>
      </c>
      <c r="AQ4" s="62">
        <v>9.4949999999999992</v>
      </c>
      <c r="AR4" s="62">
        <v>9.2757000000000005</v>
      </c>
      <c r="AS4" s="62">
        <v>8.7270000000000003</v>
      </c>
      <c r="AT4" s="62">
        <v>9.0554000000000006</v>
      </c>
      <c r="AU4" s="62">
        <v>8.9490999999999996</v>
      </c>
      <c r="AV4" s="62">
        <v>9.0592000000000006</v>
      </c>
      <c r="AW4" s="62">
        <v>8.8030000000000008</v>
      </c>
      <c r="AX4" s="62">
        <v>8.5970999999999993</v>
      </c>
      <c r="AY4" s="62">
        <v>9.0935000000000006</v>
      </c>
      <c r="AZ4" s="62">
        <v>10.6309</v>
      </c>
      <c r="BA4" s="62">
        <v>12.3386</v>
      </c>
      <c r="BB4" s="62">
        <v>12.0692</v>
      </c>
      <c r="BC4" s="62">
        <v>12.06</v>
      </c>
      <c r="BD4" s="62">
        <v>13.21</v>
      </c>
      <c r="BE4" s="62">
        <v>13.055</v>
      </c>
    </row>
    <row r="5" spans="1:57">
      <c r="A5" s="104" t="s">
        <v>65</v>
      </c>
      <c r="B5" s="104" t="s">
        <v>66</v>
      </c>
      <c r="C5" s="62">
        <v>0.32804</v>
      </c>
      <c r="D5" s="62">
        <v>0.30054999999999998</v>
      </c>
      <c r="E5" s="62">
        <v>0.36294999999999999</v>
      </c>
      <c r="F5" s="62">
        <v>0.40272999999999998</v>
      </c>
      <c r="G5" s="62">
        <v>0.42674000000000001</v>
      </c>
      <c r="H5" s="62">
        <v>0.47416000000000003</v>
      </c>
      <c r="I5" s="62">
        <v>0.44414999999999999</v>
      </c>
      <c r="J5" s="62">
        <v>0.43686000000000003</v>
      </c>
      <c r="K5" s="62">
        <v>0.42243999999999998</v>
      </c>
      <c r="L5" s="62">
        <v>0.44886999999999999</v>
      </c>
      <c r="M5" s="62">
        <v>0.49303999999999998</v>
      </c>
      <c r="N5" s="62">
        <v>0.45469999999999999</v>
      </c>
      <c r="O5" s="62">
        <v>0.47078999999999999</v>
      </c>
      <c r="P5" s="62">
        <v>0.50658000000000003</v>
      </c>
      <c r="Q5" s="62">
        <v>0.47959000000000002</v>
      </c>
      <c r="R5" s="62">
        <v>0.46222999999999997</v>
      </c>
      <c r="S5" s="62">
        <v>0.46699000000000002</v>
      </c>
      <c r="T5" s="62">
        <v>0.45062000000000002</v>
      </c>
      <c r="U5" s="62">
        <v>0.41954999999999998</v>
      </c>
      <c r="V5" s="62">
        <v>0.46093000000000001</v>
      </c>
      <c r="W5" s="62">
        <v>0.44080999999999998</v>
      </c>
      <c r="X5" s="62">
        <v>0.40883000000000003</v>
      </c>
      <c r="Y5" s="62">
        <v>0.42346</v>
      </c>
      <c r="Z5" s="62">
        <v>0.47183999999999998</v>
      </c>
      <c r="AA5" s="62">
        <v>0.44562000000000002</v>
      </c>
      <c r="AB5" s="62">
        <v>0.51826000000000005</v>
      </c>
      <c r="AC5" s="62">
        <v>0.52156999999999998</v>
      </c>
      <c r="AD5" s="62">
        <v>0.47058</v>
      </c>
      <c r="AE5" s="62">
        <v>0.49320999999999998</v>
      </c>
      <c r="AF5" s="62">
        <v>0.46166000000000001</v>
      </c>
      <c r="AG5" s="62">
        <v>0.45571</v>
      </c>
      <c r="AH5" s="62">
        <v>0.47116999999999998</v>
      </c>
      <c r="AI5" s="62">
        <v>0.45380999999999999</v>
      </c>
      <c r="AJ5" s="62">
        <v>0.46955000000000002</v>
      </c>
      <c r="AK5" s="62">
        <v>0.42077999999999999</v>
      </c>
      <c r="AL5" s="62">
        <v>0.46200999999999998</v>
      </c>
      <c r="AM5" s="62">
        <v>0.50475000000000003</v>
      </c>
      <c r="AN5" s="62">
        <v>0.45726</v>
      </c>
      <c r="AO5" s="62">
        <v>0.499</v>
      </c>
      <c r="AP5" s="62">
        <v>0.55511999999999995</v>
      </c>
      <c r="AQ5" s="62">
        <v>0.57747000000000004</v>
      </c>
      <c r="AR5" s="62">
        <v>0.61902000000000001</v>
      </c>
      <c r="AS5" s="62">
        <v>0.61351</v>
      </c>
      <c r="AT5" s="62">
        <v>0.67222999999999999</v>
      </c>
      <c r="AU5" s="62">
        <v>0.67178000000000004</v>
      </c>
      <c r="AV5" s="62">
        <v>0.68372999999999995</v>
      </c>
      <c r="AW5" s="62">
        <v>0.61151</v>
      </c>
      <c r="AX5" s="62">
        <v>0.61792000000000002</v>
      </c>
      <c r="AY5" s="62">
        <v>0.64095000000000002</v>
      </c>
      <c r="AZ5" s="62">
        <v>0.72067999999999999</v>
      </c>
      <c r="BA5" s="62">
        <v>0.85477999999999998</v>
      </c>
      <c r="BB5" s="62">
        <v>0.83226999999999995</v>
      </c>
      <c r="BC5" s="62">
        <v>0.86128000000000005</v>
      </c>
      <c r="BD5" s="62">
        <v>0.91559000000000001</v>
      </c>
      <c r="BE5" s="62">
        <v>0.89420999999999995</v>
      </c>
    </row>
    <row r="6" spans="1:57">
      <c r="A6" s="104" t="s">
        <v>73</v>
      </c>
      <c r="B6" s="104" t="s">
        <v>74</v>
      </c>
      <c r="C6" s="62">
        <v>1.39049</v>
      </c>
      <c r="D6" s="62">
        <v>1.28077</v>
      </c>
      <c r="E6" s="62">
        <v>1.5736600000000001</v>
      </c>
      <c r="F6" s="62">
        <v>1.86507</v>
      </c>
      <c r="G6" s="62">
        <v>1.72373</v>
      </c>
      <c r="H6" s="62">
        <v>1.8197700000000001</v>
      </c>
      <c r="I6" s="62">
        <v>1.7022600000000001</v>
      </c>
      <c r="J6" s="62">
        <v>1.7468600000000001</v>
      </c>
      <c r="K6" s="62">
        <v>1.8593999999999999</v>
      </c>
      <c r="L6" s="62">
        <v>1.90439</v>
      </c>
      <c r="M6" s="62">
        <v>2.0691600000000001</v>
      </c>
      <c r="N6" s="62">
        <v>1.8651800000000001</v>
      </c>
      <c r="O6" s="62">
        <v>1.9192800000000001</v>
      </c>
      <c r="P6" s="62">
        <v>2.0394299999999999</v>
      </c>
      <c r="Q6" s="62">
        <v>1.8870199999999999</v>
      </c>
      <c r="R6" s="62">
        <v>1.5531900000000001</v>
      </c>
      <c r="S6" s="62">
        <v>1.5609500000000001</v>
      </c>
      <c r="T6" s="62">
        <v>1.75614</v>
      </c>
      <c r="U6" s="62">
        <v>1.57118</v>
      </c>
      <c r="V6" s="62">
        <v>1.65699</v>
      </c>
      <c r="W6" s="62">
        <v>1.7027600000000001</v>
      </c>
      <c r="X6" s="62">
        <v>1.4686300000000001</v>
      </c>
      <c r="Y6" s="62">
        <v>1.5343100000000001</v>
      </c>
      <c r="Z6" s="62">
        <v>1.6712899999999999</v>
      </c>
      <c r="AA6" s="62">
        <v>1.6028800000000001</v>
      </c>
      <c r="AB6" s="62">
        <v>1.88741</v>
      </c>
      <c r="AC6" s="62">
        <v>1.8368</v>
      </c>
      <c r="AD6" s="62">
        <v>1.52704</v>
      </c>
      <c r="AE6" s="62">
        <v>1.68024</v>
      </c>
      <c r="AF6" s="62">
        <v>1.62459</v>
      </c>
      <c r="AG6" s="62">
        <v>1.6468700000000001</v>
      </c>
      <c r="AH6" s="62">
        <v>1.66882</v>
      </c>
      <c r="AI6" s="62">
        <v>1.6164400000000001</v>
      </c>
      <c r="AJ6" s="62">
        <v>1.72201</v>
      </c>
      <c r="AK6" s="62">
        <v>1.4194199999999999</v>
      </c>
      <c r="AL6" s="62">
        <v>1.53464</v>
      </c>
      <c r="AM6" s="62">
        <v>1.66561</v>
      </c>
      <c r="AN6" s="62">
        <v>1.63348</v>
      </c>
      <c r="AO6" s="62">
        <v>1.8625400000000001</v>
      </c>
      <c r="AP6" s="62">
        <v>2.0766900000000001</v>
      </c>
      <c r="AQ6" s="62">
        <v>2.3012000000000001</v>
      </c>
      <c r="AR6" s="62">
        <v>2.5027599999999999</v>
      </c>
      <c r="AS6" s="62">
        <v>2.3889100000000001</v>
      </c>
      <c r="AT6" s="62">
        <v>2.6915399999999998</v>
      </c>
      <c r="AU6" s="62">
        <v>2.6633800000000001</v>
      </c>
      <c r="AV6" s="62">
        <v>2.6514600000000002</v>
      </c>
      <c r="AW6" s="62">
        <v>2.7618100000000001</v>
      </c>
      <c r="AX6" s="62">
        <v>3.11964</v>
      </c>
      <c r="AY6" s="62">
        <v>3.1860200000000001</v>
      </c>
      <c r="AZ6" s="62">
        <v>3.4865599999999999</v>
      </c>
      <c r="BA6" s="62">
        <v>3.7696100000000001</v>
      </c>
      <c r="BB6" s="62">
        <v>3.4356599999999999</v>
      </c>
      <c r="BC6" s="62">
        <v>3.4883700000000002</v>
      </c>
      <c r="BD6" s="62">
        <v>3.8841199999999998</v>
      </c>
      <c r="BE6" s="62">
        <v>3.9324400000000002</v>
      </c>
    </row>
    <row r="7" spans="1:57">
      <c r="A7" s="104" t="s">
        <v>80</v>
      </c>
      <c r="B7" s="104" t="s">
        <v>81</v>
      </c>
      <c r="C7" s="62">
        <v>1.48024</v>
      </c>
      <c r="D7" s="62">
        <v>1.3184899999999999</v>
      </c>
      <c r="E7" s="62">
        <v>1.68133</v>
      </c>
      <c r="F7" s="62">
        <v>1.8508199999999999</v>
      </c>
      <c r="G7" s="62">
        <v>1.81535</v>
      </c>
      <c r="H7" s="62">
        <v>1.9341200000000001</v>
      </c>
      <c r="I7" s="62">
        <v>1.90035</v>
      </c>
      <c r="J7" s="62">
        <v>1.9048400000000001</v>
      </c>
      <c r="K7" s="62">
        <v>2.02061</v>
      </c>
      <c r="L7" s="62">
        <v>2.1299399999999999</v>
      </c>
      <c r="M7" s="62">
        <v>2.1328299999999998</v>
      </c>
      <c r="N7" s="62">
        <v>2.0295899999999998</v>
      </c>
      <c r="O7" s="62">
        <v>2.1841900000000001</v>
      </c>
      <c r="P7" s="62">
        <v>2.3634900000000001</v>
      </c>
      <c r="Q7" s="62">
        <v>2.2347800000000002</v>
      </c>
      <c r="R7" s="62">
        <v>2.15693</v>
      </c>
      <c r="S7" s="62">
        <v>2.1902599999999999</v>
      </c>
      <c r="T7" s="62">
        <v>2.2611699999999999</v>
      </c>
      <c r="U7" s="62">
        <v>2.13672</v>
      </c>
      <c r="V7" s="62">
        <v>2.4998999999999998</v>
      </c>
      <c r="W7" s="62">
        <v>2.4226800000000002</v>
      </c>
      <c r="X7" s="62">
        <v>2.18344</v>
      </c>
      <c r="Y7" s="62">
        <v>2.3154400000000002</v>
      </c>
      <c r="Z7" s="62">
        <v>2.5780599999999998</v>
      </c>
      <c r="AA7" s="62">
        <v>2.5466600000000001</v>
      </c>
      <c r="AB7" s="62">
        <v>2.9706800000000002</v>
      </c>
      <c r="AC7" s="62">
        <v>2.8351500000000001</v>
      </c>
      <c r="AD7" s="62">
        <v>2.64716</v>
      </c>
      <c r="AE7" s="62">
        <v>2.64011</v>
      </c>
      <c r="AF7" s="62">
        <v>2.6720100000000002</v>
      </c>
      <c r="AG7" s="62">
        <v>2.4790800000000002</v>
      </c>
      <c r="AH7" s="62">
        <v>2.52264</v>
      </c>
      <c r="AI7" s="62">
        <v>2.43553</v>
      </c>
      <c r="AJ7" s="62">
        <v>2.46089</v>
      </c>
      <c r="AK7" s="62">
        <v>1.85223</v>
      </c>
      <c r="AL7" s="62">
        <v>2.17997</v>
      </c>
      <c r="AM7" s="62">
        <v>2.2900299999999998</v>
      </c>
      <c r="AN7" s="62">
        <v>2.3884799999999999</v>
      </c>
      <c r="AO7" s="62">
        <v>2.5276100000000001</v>
      </c>
      <c r="AP7" s="62">
        <v>2.9431799999999999</v>
      </c>
      <c r="AQ7" s="62">
        <v>3.3694899999999999</v>
      </c>
      <c r="AR7" s="62">
        <v>3.5043899999999999</v>
      </c>
      <c r="AS7" s="62">
        <v>3.48692</v>
      </c>
      <c r="AT7" s="62">
        <v>4.1440700000000001</v>
      </c>
      <c r="AU7" s="62">
        <v>3.9559500000000001</v>
      </c>
      <c r="AV7" s="62">
        <v>3.9906799999999998</v>
      </c>
      <c r="AW7" s="62">
        <v>4.2020999999999997</v>
      </c>
      <c r="AX7" s="62">
        <v>4.6800899999999999</v>
      </c>
      <c r="AY7" s="62">
        <v>4.6951200000000002</v>
      </c>
      <c r="AZ7" s="62">
        <v>4.9965599999999997</v>
      </c>
      <c r="BA7" s="62">
        <v>5.5964600000000004</v>
      </c>
      <c r="BB7" s="62">
        <v>5.39344</v>
      </c>
      <c r="BC7" s="62">
        <v>5.6204099999999997</v>
      </c>
      <c r="BD7" s="62">
        <v>6.2217099999999999</v>
      </c>
      <c r="BE7" s="62">
        <v>5.9622000000000002</v>
      </c>
    </row>
    <row r="8" spans="1:57">
      <c r="A8" s="104" t="s">
        <v>86</v>
      </c>
      <c r="B8" s="104" t="s">
        <v>87</v>
      </c>
      <c r="C8" s="62">
        <v>157.464</v>
      </c>
      <c r="D8" s="62">
        <v>146.71600000000001</v>
      </c>
      <c r="E8" s="62">
        <v>156.83699999999999</v>
      </c>
      <c r="F8" s="62">
        <v>170.92</v>
      </c>
      <c r="G8" s="62">
        <v>170.64500000000001</v>
      </c>
      <c r="H8" s="62">
        <v>176.738</v>
      </c>
      <c r="I8" s="62">
        <v>173.21100000000001</v>
      </c>
      <c r="J8" s="62">
        <v>172.268</v>
      </c>
      <c r="K8" s="62">
        <v>162.87799999999999</v>
      </c>
      <c r="L8" s="62">
        <v>160.12200000000001</v>
      </c>
      <c r="M8" s="62">
        <v>165.46100000000001</v>
      </c>
      <c r="N8" s="62">
        <v>157.727</v>
      </c>
      <c r="O8" s="62">
        <v>170.3</v>
      </c>
      <c r="P8" s="62">
        <v>187.27699999999999</v>
      </c>
      <c r="Q8" s="62">
        <v>165.666</v>
      </c>
      <c r="R8" s="62">
        <v>178.00899999999999</v>
      </c>
      <c r="S8" s="62">
        <v>175.46700000000001</v>
      </c>
      <c r="T8" s="62">
        <v>169.16399999999999</v>
      </c>
      <c r="U8" s="62">
        <v>157.12899999999999</v>
      </c>
      <c r="V8" s="62">
        <v>153.261</v>
      </c>
      <c r="W8" s="62">
        <v>145.80199999999999</v>
      </c>
      <c r="X8" s="62">
        <v>138.136</v>
      </c>
      <c r="Y8" s="62">
        <v>157.64699999999999</v>
      </c>
      <c r="Z8" s="62">
        <v>177.41800000000001</v>
      </c>
      <c r="AA8" s="62">
        <v>173.446</v>
      </c>
      <c r="AB8" s="62">
        <v>189.505</v>
      </c>
      <c r="AC8" s="62">
        <v>191.79300000000001</v>
      </c>
      <c r="AD8" s="62">
        <v>183.76300000000001</v>
      </c>
      <c r="AE8" s="62">
        <v>195.678</v>
      </c>
      <c r="AF8" s="62">
        <v>182.791</v>
      </c>
      <c r="AG8" s="62">
        <v>193.89699999999999</v>
      </c>
      <c r="AH8" s="62">
        <v>197.72</v>
      </c>
      <c r="AI8" s="62">
        <v>204.00200000000001</v>
      </c>
      <c r="AJ8" s="62">
        <v>204.77500000000001</v>
      </c>
      <c r="AK8" s="62">
        <v>202.04400000000001</v>
      </c>
      <c r="AL8" s="62">
        <v>209.78200000000001</v>
      </c>
      <c r="AM8" s="62">
        <v>220.251</v>
      </c>
      <c r="AN8" s="62">
        <v>224.84800000000001</v>
      </c>
      <c r="AO8" s="62">
        <v>230.67400000000001</v>
      </c>
      <c r="AP8" s="62">
        <v>252.65799999999999</v>
      </c>
      <c r="AQ8" s="62">
        <v>242.59899999999999</v>
      </c>
      <c r="AR8" s="62">
        <v>256.923</v>
      </c>
      <c r="AS8" s="62">
        <v>248.48699999999999</v>
      </c>
      <c r="AT8" s="62">
        <v>249.542</v>
      </c>
      <c r="AU8" s="62">
        <v>269.76900000000001</v>
      </c>
      <c r="AV8" s="62">
        <v>282.99900000000002</v>
      </c>
      <c r="AW8" s="62">
        <v>276.86399999999998</v>
      </c>
      <c r="AX8" s="62">
        <v>279.548</v>
      </c>
      <c r="AY8" s="62">
        <v>283.67</v>
      </c>
      <c r="AZ8" s="62">
        <v>300.351</v>
      </c>
      <c r="BA8" s="62">
        <v>316.16899999999998</v>
      </c>
      <c r="BB8" s="62">
        <v>338.50599999999997</v>
      </c>
      <c r="BC8" s="62">
        <v>350.01</v>
      </c>
      <c r="BD8" s="62">
        <v>349.1</v>
      </c>
      <c r="BE8" s="62">
        <v>345.2</v>
      </c>
    </row>
    <row r="9" spans="1:57">
      <c r="A9" s="104" t="s">
        <v>95</v>
      </c>
      <c r="B9" s="104" t="s">
        <v>96</v>
      </c>
      <c r="C9" s="62">
        <v>264.70684</v>
      </c>
      <c r="D9" s="62">
        <v>253.55921000000001</v>
      </c>
      <c r="E9" s="62">
        <v>259.92617999999999</v>
      </c>
      <c r="F9" s="62">
        <v>280.25465000000003</v>
      </c>
      <c r="G9" s="62">
        <v>276.11039</v>
      </c>
      <c r="H9" s="62">
        <v>276.49461000000002</v>
      </c>
      <c r="I9" s="62">
        <v>273.86052000000001</v>
      </c>
      <c r="J9" s="62">
        <v>275.36151000000001</v>
      </c>
      <c r="K9" s="62">
        <v>300.75857000000002</v>
      </c>
      <c r="L9" s="62">
        <v>287.14013999999997</v>
      </c>
      <c r="M9" s="62">
        <v>310.42439999999999</v>
      </c>
      <c r="N9" s="62">
        <v>294.64762000000002</v>
      </c>
      <c r="O9" s="62">
        <v>313.09985999999998</v>
      </c>
      <c r="P9" s="62">
        <v>341.73191000000003</v>
      </c>
      <c r="Q9" s="62">
        <v>331.31975999999997</v>
      </c>
      <c r="R9" s="62">
        <v>361.62830000000002</v>
      </c>
      <c r="S9" s="62">
        <v>369.66327999999999</v>
      </c>
      <c r="T9" s="62">
        <v>362.06153</v>
      </c>
      <c r="U9" s="62">
        <v>353.09838000000002</v>
      </c>
      <c r="V9" s="62">
        <v>363.31103000000002</v>
      </c>
      <c r="W9" s="62">
        <v>376.43756999999999</v>
      </c>
      <c r="X9" s="62">
        <v>348.69308000000001</v>
      </c>
      <c r="Y9" s="62">
        <v>367.08785999999998</v>
      </c>
      <c r="Z9" s="62">
        <v>392.37894</v>
      </c>
      <c r="AA9" s="62">
        <v>380.83674999999999</v>
      </c>
      <c r="AB9" s="62">
        <v>385.68299999999999</v>
      </c>
      <c r="AC9" s="62">
        <v>381.79451999999998</v>
      </c>
      <c r="AD9" s="62">
        <v>374.68952000000002</v>
      </c>
      <c r="AE9" s="62">
        <v>393.61669999999998</v>
      </c>
      <c r="AF9" s="62">
        <v>392.98642000000001</v>
      </c>
      <c r="AG9" s="62">
        <v>390.28588999999999</v>
      </c>
      <c r="AH9" s="62">
        <v>394.50619999999998</v>
      </c>
      <c r="AI9" s="62">
        <v>389.10248999999999</v>
      </c>
      <c r="AJ9" s="62">
        <v>389.65661999999998</v>
      </c>
      <c r="AK9" s="62">
        <v>401.66117000000003</v>
      </c>
      <c r="AL9" s="62">
        <v>412.38731999999999</v>
      </c>
      <c r="AM9" s="62">
        <v>424.81191999999999</v>
      </c>
      <c r="AN9" s="62">
        <v>422.38008000000002</v>
      </c>
      <c r="AO9" s="62">
        <v>441.76125000000002</v>
      </c>
      <c r="AP9" s="62">
        <v>448.42381999999998</v>
      </c>
      <c r="AQ9" s="62">
        <v>430.54834</v>
      </c>
      <c r="AR9" s="62">
        <v>459.23651999999998</v>
      </c>
      <c r="AS9" s="62">
        <v>472.66133000000002</v>
      </c>
      <c r="AT9" s="62">
        <v>482.26609999999999</v>
      </c>
      <c r="AU9" s="62">
        <v>496.50094999999999</v>
      </c>
      <c r="AV9" s="62">
        <v>514.37269000000003</v>
      </c>
      <c r="AW9" s="62">
        <v>516.23694</v>
      </c>
      <c r="AX9" s="62">
        <v>569.84613999999999</v>
      </c>
      <c r="AY9" s="62">
        <v>544.03018999999995</v>
      </c>
      <c r="AZ9" s="62">
        <v>555.99908000000005</v>
      </c>
      <c r="BA9" s="62">
        <v>601.31515000000002</v>
      </c>
      <c r="BB9" s="62">
        <v>610.93503999999996</v>
      </c>
      <c r="BC9" s="62">
        <v>623.68556000000001</v>
      </c>
      <c r="BD9" s="62">
        <v>618.51891999999998</v>
      </c>
      <c r="BE9" s="62">
        <v>593.65192999999999</v>
      </c>
    </row>
    <row r="10" spans="1:57">
      <c r="A10" s="104" t="s">
        <v>105</v>
      </c>
      <c r="B10" s="104" t="s">
        <v>106</v>
      </c>
      <c r="C10" s="62">
        <v>200.74799999999999</v>
      </c>
      <c r="D10" s="62">
        <v>182.06200000000001</v>
      </c>
      <c r="E10" s="62">
        <v>201.161</v>
      </c>
      <c r="F10" s="62">
        <v>217.36600000000001</v>
      </c>
      <c r="G10" s="62">
        <v>207.10300000000001</v>
      </c>
      <c r="H10" s="62">
        <v>204.095</v>
      </c>
      <c r="I10" s="62">
        <v>198.72300000000001</v>
      </c>
      <c r="J10" s="62">
        <v>194.85499999999999</v>
      </c>
      <c r="K10" s="62">
        <v>211.78700000000001</v>
      </c>
      <c r="L10" s="62">
        <v>202.934</v>
      </c>
      <c r="M10" s="62">
        <v>220.21100000000001</v>
      </c>
      <c r="N10" s="62">
        <v>205.38399999999999</v>
      </c>
      <c r="O10" s="62">
        <v>223.90700000000001</v>
      </c>
      <c r="P10" s="62">
        <v>240.28100000000001</v>
      </c>
      <c r="Q10" s="62">
        <v>210.02500000000001</v>
      </c>
      <c r="R10" s="62">
        <v>208.005</v>
      </c>
      <c r="S10" s="62">
        <v>203.68700000000001</v>
      </c>
      <c r="T10" s="62">
        <v>205.66800000000001</v>
      </c>
      <c r="U10" s="62">
        <v>201.52600000000001</v>
      </c>
      <c r="V10" s="62">
        <v>198.64500000000001</v>
      </c>
      <c r="W10" s="62">
        <v>213.863</v>
      </c>
      <c r="X10" s="62">
        <v>221.066</v>
      </c>
      <c r="Y10" s="62">
        <v>240.78700000000001</v>
      </c>
      <c r="Z10" s="62">
        <v>271.94299999999998</v>
      </c>
      <c r="AA10" s="62">
        <v>273.74400000000003</v>
      </c>
      <c r="AB10" s="62">
        <v>298.41699999999997</v>
      </c>
      <c r="AC10" s="62">
        <v>292.38400000000001</v>
      </c>
      <c r="AD10" s="62">
        <v>290.58300000000003</v>
      </c>
      <c r="AE10" s="62">
        <v>305.80099999999999</v>
      </c>
      <c r="AF10" s="62">
        <v>312.10000000000002</v>
      </c>
      <c r="AG10" s="62">
        <v>320.399</v>
      </c>
      <c r="AH10" s="62">
        <v>320.58499999999998</v>
      </c>
      <c r="AI10" s="62">
        <v>334.01299999999998</v>
      </c>
      <c r="AJ10" s="62">
        <v>343.05799999999999</v>
      </c>
      <c r="AK10" s="62">
        <v>352.94200000000001</v>
      </c>
      <c r="AL10" s="62">
        <v>364.971</v>
      </c>
      <c r="AM10" s="62">
        <v>349.77199999999999</v>
      </c>
      <c r="AN10" s="62">
        <v>366.37</v>
      </c>
      <c r="AO10" s="62">
        <v>402.363</v>
      </c>
      <c r="AP10" s="62">
        <v>420.82600000000002</v>
      </c>
      <c r="AQ10" s="62">
        <v>398.322</v>
      </c>
      <c r="AR10" s="62">
        <v>443.471</v>
      </c>
      <c r="AS10" s="62">
        <v>451.10899999999998</v>
      </c>
      <c r="AT10" s="62">
        <v>438.73399999999998</v>
      </c>
      <c r="AU10" s="62">
        <v>473.53899999999999</v>
      </c>
      <c r="AV10" s="62">
        <v>478.75900000000001</v>
      </c>
      <c r="AW10" s="62">
        <v>454.39600000000002</v>
      </c>
      <c r="AX10" s="62">
        <v>477.30900000000003</v>
      </c>
      <c r="AY10" s="62">
        <v>470.928</v>
      </c>
      <c r="AZ10" s="62">
        <v>503.70299999999997</v>
      </c>
      <c r="BA10" s="62">
        <v>525.55200000000002</v>
      </c>
      <c r="BB10" s="62">
        <v>564.41800000000001</v>
      </c>
      <c r="BC10" s="62">
        <v>582.4</v>
      </c>
      <c r="BD10" s="62">
        <v>570.79999999999995</v>
      </c>
      <c r="BE10" s="62">
        <v>549.6</v>
      </c>
    </row>
    <row r="11" spans="1:57">
      <c r="A11" s="104" t="s">
        <v>113</v>
      </c>
      <c r="B11" s="104" t="s">
        <v>114</v>
      </c>
      <c r="C11" s="62">
        <v>56.862389999999998</v>
      </c>
      <c r="D11" s="62">
        <v>53.905920000000002</v>
      </c>
      <c r="E11" s="62">
        <v>57.550550000000001</v>
      </c>
      <c r="F11" s="62">
        <v>62.17418</v>
      </c>
      <c r="G11" s="62">
        <v>61.21416</v>
      </c>
      <c r="H11" s="62">
        <v>62.247549999999997</v>
      </c>
      <c r="I11" s="62">
        <v>60.276960000000003</v>
      </c>
      <c r="J11" s="62">
        <v>60.426400000000001</v>
      </c>
      <c r="K11" s="62">
        <v>61.696550000000002</v>
      </c>
      <c r="L11" s="62">
        <v>58.71</v>
      </c>
      <c r="M11" s="62">
        <v>66.345879999999994</v>
      </c>
      <c r="N11" s="62">
        <v>65.752359999999996</v>
      </c>
      <c r="O11" s="62">
        <v>69.076700000000002</v>
      </c>
      <c r="P11" s="62">
        <v>76.118610000000004</v>
      </c>
      <c r="Q11" s="62">
        <v>67.544129999999996</v>
      </c>
      <c r="R11" s="62">
        <v>68.274450000000002</v>
      </c>
      <c r="S11" s="62">
        <v>66.406469999999999</v>
      </c>
      <c r="T11" s="62">
        <v>65.059870000000004</v>
      </c>
      <c r="U11" s="62">
        <v>62.743760000000002</v>
      </c>
      <c r="V11" s="62">
        <v>62.264789999999998</v>
      </c>
      <c r="W11" s="62">
        <v>65.881280000000004</v>
      </c>
      <c r="X11" s="62">
        <v>64.407700000000006</v>
      </c>
      <c r="Y11" s="62">
        <v>63.742330000000003</v>
      </c>
      <c r="Z11" s="62">
        <v>72.767340000000004</v>
      </c>
      <c r="AA11" s="62">
        <v>74.260090000000005</v>
      </c>
      <c r="AB11" s="62">
        <v>81.28192</v>
      </c>
      <c r="AC11" s="62">
        <v>83.759649999999993</v>
      </c>
      <c r="AD11" s="62">
        <v>80.112610000000004</v>
      </c>
      <c r="AE11" s="62">
        <v>82.251019999999997</v>
      </c>
      <c r="AF11" s="62">
        <v>84.628990000000002</v>
      </c>
      <c r="AG11" s="62">
        <v>83.174989999999994</v>
      </c>
      <c r="AH11" s="62">
        <v>85.704400000000007</v>
      </c>
      <c r="AI11" s="62">
        <v>80.997240000000005</v>
      </c>
      <c r="AJ11" s="62">
        <v>87.982100000000003</v>
      </c>
      <c r="AK11" s="62">
        <v>92.984009999999998</v>
      </c>
      <c r="AL11" s="62">
        <v>97.787099999999995</v>
      </c>
      <c r="AM11" s="62">
        <v>91.898330000000001</v>
      </c>
      <c r="AN11" s="62">
        <v>95.868250000000003</v>
      </c>
      <c r="AO11" s="62">
        <v>100.76463</v>
      </c>
      <c r="AP11" s="62">
        <v>107.52669</v>
      </c>
      <c r="AQ11" s="62">
        <v>97.55189</v>
      </c>
      <c r="AR11" s="62">
        <v>112.11693</v>
      </c>
      <c r="AS11" s="62">
        <v>110.91072</v>
      </c>
      <c r="AT11" s="62">
        <v>109.13502</v>
      </c>
      <c r="AU11" s="62">
        <v>117.86722</v>
      </c>
      <c r="AV11" s="62">
        <v>118.71993999999999</v>
      </c>
      <c r="AW11" s="62">
        <v>112.75203</v>
      </c>
      <c r="AX11" s="62">
        <v>133.86763999999999</v>
      </c>
      <c r="AY11" s="62">
        <v>133.56847999999999</v>
      </c>
      <c r="AZ11" s="62">
        <v>141.11027999999999</v>
      </c>
      <c r="BA11" s="62">
        <v>147.38365999999999</v>
      </c>
      <c r="BB11" s="62">
        <v>150.24011999999999</v>
      </c>
      <c r="BC11" s="62">
        <v>158.22380000000001</v>
      </c>
      <c r="BD11" s="62">
        <v>155.64774</v>
      </c>
      <c r="BE11" s="62">
        <v>146.80735999999999</v>
      </c>
    </row>
    <row r="12" spans="1:57">
      <c r="A12" s="104" t="s">
        <v>121</v>
      </c>
      <c r="B12" s="104" t="s">
        <v>122</v>
      </c>
      <c r="C12" s="62">
        <v>10.5358</v>
      </c>
      <c r="D12" s="62">
        <v>10.4102</v>
      </c>
      <c r="E12" s="62">
        <v>11.489000000000001</v>
      </c>
      <c r="F12" s="62">
        <v>12.6046</v>
      </c>
      <c r="G12" s="62">
        <v>12.327500000000001</v>
      </c>
      <c r="H12" s="62">
        <v>13.177199999999999</v>
      </c>
      <c r="I12" s="62">
        <v>13.2477</v>
      </c>
      <c r="J12" s="62">
        <v>13.204599999999999</v>
      </c>
      <c r="K12" s="62">
        <v>13.533799999999999</v>
      </c>
      <c r="L12" s="62">
        <v>14.4115</v>
      </c>
      <c r="M12" s="62">
        <v>15.1427</v>
      </c>
      <c r="N12" s="62">
        <v>14.242900000000001</v>
      </c>
      <c r="O12" s="62">
        <v>14.9659</v>
      </c>
      <c r="P12" s="62">
        <v>14.925800000000001</v>
      </c>
      <c r="Q12" s="62">
        <v>14.242900000000001</v>
      </c>
      <c r="R12" s="62">
        <v>16.684999999999999</v>
      </c>
      <c r="S12" s="62">
        <v>14.5402</v>
      </c>
      <c r="T12" s="62">
        <v>14.4772</v>
      </c>
      <c r="U12" s="62">
        <v>13.0038</v>
      </c>
      <c r="V12" s="62">
        <v>12.4572</v>
      </c>
      <c r="W12" s="62">
        <v>12.504200000000001</v>
      </c>
      <c r="X12" s="62">
        <v>11.974600000000001</v>
      </c>
      <c r="Y12" s="62">
        <v>12.9739</v>
      </c>
      <c r="Z12" s="62">
        <v>14.4686</v>
      </c>
      <c r="AA12" s="62">
        <v>14.191000000000001</v>
      </c>
      <c r="AB12" s="62">
        <v>15.288600000000001</v>
      </c>
      <c r="AC12" s="62">
        <v>15.980399999999999</v>
      </c>
      <c r="AD12" s="62">
        <v>15.698499999999999</v>
      </c>
      <c r="AE12" s="62">
        <v>16.125599999999999</v>
      </c>
      <c r="AF12" s="62">
        <v>16.114100000000001</v>
      </c>
      <c r="AG12" s="62">
        <v>16.9373</v>
      </c>
      <c r="AH12" s="62">
        <v>17.628599999999999</v>
      </c>
      <c r="AI12" s="62">
        <v>17.401199999999999</v>
      </c>
      <c r="AJ12" s="62">
        <v>17.614999999999998</v>
      </c>
      <c r="AK12" s="62">
        <v>17.050999999999998</v>
      </c>
      <c r="AL12" s="62">
        <v>17.287500000000001</v>
      </c>
      <c r="AM12" s="62">
        <v>17.378499999999999</v>
      </c>
      <c r="AN12" s="62">
        <v>18.8203</v>
      </c>
      <c r="AO12" s="62">
        <v>19.9391</v>
      </c>
      <c r="AP12" s="62">
        <v>21.3399</v>
      </c>
      <c r="AQ12" s="62">
        <v>20.8306</v>
      </c>
      <c r="AR12" s="62">
        <v>22.631599999999999</v>
      </c>
      <c r="AS12" s="62">
        <v>22.334299999999999</v>
      </c>
      <c r="AT12" s="62">
        <v>22.9481</v>
      </c>
      <c r="AU12" s="62">
        <v>23.859100000000002</v>
      </c>
      <c r="AV12" s="62">
        <v>24.885200000000001</v>
      </c>
      <c r="AW12" s="62">
        <v>24.5016</v>
      </c>
      <c r="AX12" s="62">
        <v>25.968800000000002</v>
      </c>
      <c r="AY12" s="62">
        <v>26.151</v>
      </c>
      <c r="AZ12" s="62">
        <v>29.373200000000001</v>
      </c>
      <c r="BA12" s="62">
        <v>30.4376</v>
      </c>
      <c r="BB12" s="62">
        <v>31.051400000000001</v>
      </c>
      <c r="BC12" s="62">
        <v>30.821200000000001</v>
      </c>
      <c r="BD12" s="62">
        <v>32.049999999999997</v>
      </c>
      <c r="BE12" s="62">
        <v>30.21</v>
      </c>
    </row>
    <row r="13" spans="1:57">
      <c r="A13" s="104" t="s">
        <v>125</v>
      </c>
      <c r="B13" s="104" t="s">
        <v>126</v>
      </c>
      <c r="C13" s="62">
        <v>10.039680000000001</v>
      </c>
      <c r="D13" s="62">
        <v>10.41146</v>
      </c>
      <c r="E13" s="62">
        <v>11.206989999999999</v>
      </c>
      <c r="F13" s="62">
        <v>11.55017</v>
      </c>
      <c r="G13" s="62">
        <v>11.35261</v>
      </c>
      <c r="H13" s="62">
        <v>11.8787</v>
      </c>
      <c r="I13" s="62">
        <v>11.55809</v>
      </c>
      <c r="J13" s="62">
        <v>12.44261</v>
      </c>
      <c r="K13" s="62">
        <v>12.64785</v>
      </c>
      <c r="L13" s="62">
        <v>12.422470000000001</v>
      </c>
      <c r="M13" s="62">
        <v>14.083869999999999</v>
      </c>
      <c r="N13" s="62">
        <v>13.70689</v>
      </c>
      <c r="O13" s="62">
        <v>14.205730000000001</v>
      </c>
      <c r="P13" s="62">
        <v>14.670339999999999</v>
      </c>
      <c r="Q13" s="62">
        <v>14.68079</v>
      </c>
      <c r="R13" s="62">
        <v>15.89259</v>
      </c>
      <c r="S13" s="62">
        <v>14.989380000000001</v>
      </c>
      <c r="T13" s="62">
        <v>16.135169999999999</v>
      </c>
      <c r="U13" s="62">
        <v>14.15746</v>
      </c>
      <c r="V13" s="62">
        <v>14.66746</v>
      </c>
      <c r="W13" s="62">
        <v>14.56743</v>
      </c>
      <c r="X13" s="62">
        <v>13.82208</v>
      </c>
      <c r="Y13" s="62">
        <v>14.76623</v>
      </c>
      <c r="Z13" s="62">
        <v>16.142510000000001</v>
      </c>
      <c r="AA13" s="62">
        <v>16.024519999999999</v>
      </c>
      <c r="AB13" s="62">
        <v>17.935140000000001</v>
      </c>
      <c r="AC13" s="62">
        <v>18.9194</v>
      </c>
      <c r="AD13" s="62">
        <v>17.86223</v>
      </c>
      <c r="AE13" s="62">
        <v>17.33492</v>
      </c>
      <c r="AF13" s="62">
        <v>16.74165</v>
      </c>
      <c r="AG13" s="62">
        <v>17.496359999999999</v>
      </c>
      <c r="AH13" s="62">
        <v>19.022410000000001</v>
      </c>
      <c r="AI13" s="62">
        <v>23.19406</v>
      </c>
      <c r="AJ13" s="62">
        <v>22.154240000000001</v>
      </c>
      <c r="AK13" s="62">
        <v>20.836469999999998</v>
      </c>
      <c r="AL13" s="62">
        <v>24.41675</v>
      </c>
      <c r="AM13" s="62">
        <v>26.55049</v>
      </c>
      <c r="AN13" s="62">
        <v>26.31718</v>
      </c>
      <c r="AO13" s="62">
        <v>24.9434</v>
      </c>
      <c r="AP13" s="62">
        <v>26.926749999999998</v>
      </c>
      <c r="AQ13" s="62">
        <v>23.996030000000001</v>
      </c>
      <c r="AR13" s="62">
        <v>28.174199999999999</v>
      </c>
      <c r="AS13" s="62">
        <v>26.618020000000001</v>
      </c>
      <c r="AT13" s="62">
        <v>27.14227</v>
      </c>
      <c r="AU13" s="62">
        <v>26.765969999999999</v>
      </c>
      <c r="AV13" s="62">
        <v>26.82123</v>
      </c>
      <c r="AW13" s="62">
        <v>27.360579999999999</v>
      </c>
      <c r="AX13" s="62">
        <v>29.636220000000002</v>
      </c>
      <c r="AY13" s="62">
        <v>28.560870000000001</v>
      </c>
      <c r="AZ13" s="62">
        <v>33.119770000000003</v>
      </c>
      <c r="BA13" s="62">
        <v>31.929559999999999</v>
      </c>
      <c r="BB13" s="62">
        <v>27.227879999999999</v>
      </c>
      <c r="BC13" s="62">
        <v>26.654419999999998</v>
      </c>
      <c r="BD13" s="62">
        <v>28.064810000000001</v>
      </c>
      <c r="BE13" s="62">
        <v>28.740629999999999</v>
      </c>
    </row>
    <row r="14" spans="1:57">
      <c r="A14" s="104" t="s">
        <v>131</v>
      </c>
      <c r="B14" s="104" t="s">
        <v>132</v>
      </c>
      <c r="C14" s="62">
        <v>94.998260000000002</v>
      </c>
      <c r="D14" s="62">
        <v>92.676540000000003</v>
      </c>
      <c r="E14" s="62">
        <v>104.85956</v>
      </c>
      <c r="F14" s="62">
        <v>76.979020000000006</v>
      </c>
      <c r="G14" s="62">
        <v>80.919049999999999</v>
      </c>
      <c r="H14" s="62">
        <v>83.807069999999996</v>
      </c>
      <c r="I14" s="62">
        <v>88.269350000000003</v>
      </c>
      <c r="J14" s="62">
        <v>83.477900000000005</v>
      </c>
      <c r="K14" s="62">
        <v>88.393379999999993</v>
      </c>
      <c r="L14" s="62">
        <v>82.672560000000004</v>
      </c>
      <c r="M14" s="62">
        <v>80.251410000000007</v>
      </c>
      <c r="N14" s="62">
        <v>72.730930000000001</v>
      </c>
      <c r="O14" s="62">
        <v>78.58126</v>
      </c>
      <c r="P14" s="62">
        <v>82.486720000000005</v>
      </c>
      <c r="Q14" s="62">
        <v>74.942729999999997</v>
      </c>
      <c r="R14" s="62">
        <v>90.091359999999995</v>
      </c>
      <c r="S14" s="62">
        <v>90.832409999999996</v>
      </c>
      <c r="T14" s="62">
        <v>83.764989999999997</v>
      </c>
      <c r="U14" s="62">
        <v>85.315479999999994</v>
      </c>
      <c r="V14" s="62">
        <v>91.854119999999995</v>
      </c>
      <c r="W14" s="62">
        <v>90.493350000000007</v>
      </c>
      <c r="X14" s="62">
        <v>83.770960000000002</v>
      </c>
      <c r="Y14" s="62">
        <v>84.773449999999997</v>
      </c>
      <c r="Z14" s="62">
        <v>92.24933</v>
      </c>
      <c r="AA14" s="62">
        <v>77.858990000000006</v>
      </c>
      <c r="AB14" s="62">
        <v>81.160830000000004</v>
      </c>
      <c r="AC14" s="62">
        <v>81.904880000000006</v>
      </c>
      <c r="AD14" s="62">
        <v>86.3459</v>
      </c>
      <c r="AE14" s="62">
        <v>92.786670000000001</v>
      </c>
      <c r="AF14" s="62">
        <v>97.092659999999995</v>
      </c>
      <c r="AG14" s="62">
        <v>95.025329999999997</v>
      </c>
      <c r="AH14" s="62">
        <v>96.403229999999994</v>
      </c>
      <c r="AI14" s="62">
        <v>93.586510000000004</v>
      </c>
      <c r="AJ14" s="62">
        <v>93.067790000000002</v>
      </c>
      <c r="AK14" s="62">
        <v>93.169439999999994</v>
      </c>
      <c r="AL14" s="62">
        <v>101.09576</v>
      </c>
      <c r="AM14" s="62">
        <v>104.7916</v>
      </c>
      <c r="AN14" s="62">
        <v>102.66974999999999</v>
      </c>
      <c r="AO14" s="62">
        <v>101.57874</v>
      </c>
      <c r="AP14" s="62">
        <v>108.70599</v>
      </c>
      <c r="AQ14" s="62">
        <v>102.37102</v>
      </c>
      <c r="AR14" s="62">
        <v>106.24697</v>
      </c>
      <c r="AS14" s="62">
        <v>109.57675999999999</v>
      </c>
      <c r="AT14" s="62">
        <v>111.13108</v>
      </c>
      <c r="AU14" s="62">
        <v>120.74118</v>
      </c>
      <c r="AV14" s="62">
        <v>121.90363000000001</v>
      </c>
      <c r="AW14" s="62">
        <v>123.51894</v>
      </c>
      <c r="AX14" s="62">
        <v>134.63186999999999</v>
      </c>
      <c r="AY14" s="62">
        <v>135.44591</v>
      </c>
      <c r="AZ14" s="62">
        <v>142.71852000000001</v>
      </c>
      <c r="BA14" s="62">
        <v>142.31342000000001</v>
      </c>
      <c r="BB14" s="62">
        <v>135.73661000000001</v>
      </c>
      <c r="BC14" s="62">
        <v>136.63163</v>
      </c>
      <c r="BD14" s="62">
        <v>133.72050999999999</v>
      </c>
      <c r="BE14" s="62">
        <v>123.98911</v>
      </c>
    </row>
    <row r="15" spans="1:57">
      <c r="A15" s="104" t="s">
        <v>137</v>
      </c>
      <c r="B15" s="104" t="s">
        <v>138</v>
      </c>
      <c r="C15" s="62">
        <v>126.20399999999999</v>
      </c>
      <c r="D15" s="62">
        <v>120.313</v>
      </c>
      <c r="E15" s="62">
        <v>122.669</v>
      </c>
      <c r="F15" s="62">
        <v>128.19800000000001</v>
      </c>
      <c r="G15" s="62">
        <v>129.33099999999999</v>
      </c>
      <c r="H15" s="62">
        <v>123.892</v>
      </c>
      <c r="I15" s="62">
        <v>136.21199999999999</v>
      </c>
      <c r="J15" s="62">
        <v>130.422</v>
      </c>
      <c r="K15" s="62">
        <v>135.239</v>
      </c>
      <c r="L15" s="62">
        <v>130.006</v>
      </c>
      <c r="M15" s="62">
        <v>133.10900000000001</v>
      </c>
      <c r="N15" s="62">
        <v>128.66200000000001</v>
      </c>
      <c r="O15" s="62">
        <v>136.25800000000001</v>
      </c>
      <c r="P15" s="62">
        <v>146.21600000000001</v>
      </c>
      <c r="Q15" s="62">
        <v>140.01</v>
      </c>
      <c r="R15" s="62">
        <v>150.98599999999999</v>
      </c>
      <c r="S15" s="62">
        <v>151.31</v>
      </c>
      <c r="T15" s="62">
        <v>147.96199999999999</v>
      </c>
      <c r="U15" s="62">
        <v>150.607</v>
      </c>
      <c r="V15" s="62">
        <v>160.953</v>
      </c>
      <c r="W15" s="62">
        <v>158.875</v>
      </c>
      <c r="X15" s="62">
        <v>157.69399999999999</v>
      </c>
      <c r="Y15" s="62">
        <v>155.33199999999999</v>
      </c>
      <c r="Z15" s="62">
        <v>166.57499999999999</v>
      </c>
      <c r="AA15" s="62">
        <v>152.49700000000001</v>
      </c>
      <c r="AB15" s="62">
        <v>155.143</v>
      </c>
      <c r="AC15" s="62">
        <v>155.56800000000001</v>
      </c>
      <c r="AD15" s="62">
        <v>169.315</v>
      </c>
      <c r="AE15" s="62">
        <v>163.64599999999999</v>
      </c>
      <c r="AF15" s="62">
        <v>155.82499999999999</v>
      </c>
      <c r="AG15" s="62">
        <v>163.06399999999999</v>
      </c>
      <c r="AH15" s="62">
        <v>167.98599999999999</v>
      </c>
      <c r="AI15" s="62">
        <v>158.238</v>
      </c>
      <c r="AJ15" s="62">
        <v>157.46600000000001</v>
      </c>
      <c r="AK15" s="62">
        <v>149.648</v>
      </c>
      <c r="AL15" s="62">
        <v>168.03399999999999</v>
      </c>
      <c r="AM15" s="62">
        <v>180.00200000000001</v>
      </c>
      <c r="AN15" s="62">
        <v>177.49299999999999</v>
      </c>
      <c r="AO15" s="62">
        <v>186.85499999999999</v>
      </c>
      <c r="AP15" s="62">
        <v>182.75299999999999</v>
      </c>
      <c r="AQ15" s="62">
        <v>174.35599999999999</v>
      </c>
      <c r="AR15" s="62">
        <v>180.46700000000001</v>
      </c>
      <c r="AS15" s="62">
        <v>187.27</v>
      </c>
      <c r="AT15" s="62">
        <v>186.136</v>
      </c>
      <c r="AU15" s="62">
        <v>199.84</v>
      </c>
      <c r="AV15" s="62">
        <v>207.62899999999999</v>
      </c>
      <c r="AW15" s="62">
        <v>210.38900000000001</v>
      </c>
      <c r="AX15" s="62">
        <v>218.375</v>
      </c>
      <c r="AY15" s="62">
        <v>219.262</v>
      </c>
      <c r="AZ15" s="62">
        <v>234.74100000000001</v>
      </c>
      <c r="BA15" s="62">
        <v>247.55699999999999</v>
      </c>
      <c r="BB15" s="62">
        <v>269.54300000000001</v>
      </c>
      <c r="BC15" s="62">
        <v>279.00700000000001</v>
      </c>
      <c r="BD15" s="62">
        <v>283.8</v>
      </c>
      <c r="BE15" s="62">
        <v>276.8</v>
      </c>
    </row>
    <row r="16" spans="1:57">
      <c r="A16" s="104" t="s">
        <v>142</v>
      </c>
      <c r="B16" s="104" t="s">
        <v>143</v>
      </c>
      <c r="C16" s="62">
        <v>28.932780000000001</v>
      </c>
      <c r="D16" s="62">
        <v>27.04261</v>
      </c>
      <c r="E16" s="62">
        <v>24.573129999999999</v>
      </c>
      <c r="F16" s="62">
        <v>27.46434</v>
      </c>
      <c r="G16" s="62">
        <v>30.066970000000001</v>
      </c>
      <c r="H16" s="62">
        <v>29.454840000000001</v>
      </c>
      <c r="I16" s="62">
        <v>30.641169999999999</v>
      </c>
      <c r="J16" s="62">
        <v>35.06288</v>
      </c>
      <c r="K16" s="62">
        <v>35.2408</v>
      </c>
      <c r="L16" s="62">
        <v>34.154980000000002</v>
      </c>
      <c r="M16" s="62">
        <v>37.452280000000002</v>
      </c>
      <c r="N16" s="62">
        <v>37.429769999999998</v>
      </c>
      <c r="O16" s="62">
        <v>40.771790000000003</v>
      </c>
      <c r="P16" s="62">
        <v>34.962350000000001</v>
      </c>
      <c r="Q16" s="62">
        <v>33.210380000000001</v>
      </c>
      <c r="R16" s="62">
        <v>33.149279999999997</v>
      </c>
      <c r="S16" s="62">
        <v>31.541070000000001</v>
      </c>
      <c r="T16" s="62">
        <v>29.591529999999999</v>
      </c>
      <c r="U16" s="62">
        <v>26.816800000000001</v>
      </c>
      <c r="V16" s="62">
        <v>32.783880000000003</v>
      </c>
      <c r="W16" s="62">
        <v>29.10107</v>
      </c>
      <c r="X16" s="62">
        <v>29.02779</v>
      </c>
      <c r="Y16" s="62">
        <v>30.873519999999999</v>
      </c>
      <c r="Z16" s="62">
        <v>32.273560000000003</v>
      </c>
      <c r="AA16" s="62">
        <v>30.486660000000001</v>
      </c>
      <c r="AB16" s="62">
        <v>32.302300000000002</v>
      </c>
      <c r="AC16" s="62">
        <v>30.85633</v>
      </c>
      <c r="AD16" s="62">
        <v>29.138439999999999</v>
      </c>
      <c r="AE16" s="62">
        <v>30.887090000000001</v>
      </c>
      <c r="AF16" s="62">
        <v>31.796330000000001</v>
      </c>
      <c r="AG16" s="62">
        <v>34.24006</v>
      </c>
      <c r="AH16" s="62">
        <v>34.240049999999997</v>
      </c>
      <c r="AI16" s="62">
        <v>31.432500000000001</v>
      </c>
      <c r="AJ16" s="62">
        <v>30.247630000000001</v>
      </c>
      <c r="AK16" s="62">
        <v>27.87443</v>
      </c>
      <c r="AL16" s="62">
        <v>32.77075</v>
      </c>
      <c r="AM16" s="62">
        <v>35.980710000000002</v>
      </c>
      <c r="AN16" s="62">
        <v>37.810369999999999</v>
      </c>
      <c r="AO16" s="62">
        <v>38.704369999999997</v>
      </c>
      <c r="AP16" s="62">
        <v>39.529879999999999</v>
      </c>
      <c r="AQ16" s="62">
        <v>37.182450000000003</v>
      </c>
      <c r="AR16" s="62">
        <v>41.428530000000002</v>
      </c>
      <c r="AS16" s="62">
        <v>42.925240000000002</v>
      </c>
      <c r="AT16" s="62">
        <v>43.048200000000001</v>
      </c>
      <c r="AU16" s="62">
        <v>43.174999999999997</v>
      </c>
      <c r="AV16" s="62">
        <v>46.649819999999998</v>
      </c>
      <c r="AW16" s="62">
        <v>44.142049999999998</v>
      </c>
      <c r="AX16" s="62">
        <v>44.581249999999997</v>
      </c>
      <c r="AY16" s="62">
        <v>41.1372</v>
      </c>
      <c r="AZ16" s="62">
        <v>47.489629999999998</v>
      </c>
      <c r="BA16" s="62">
        <v>45.196579999999997</v>
      </c>
      <c r="BB16" s="62">
        <v>42.235959999999999</v>
      </c>
      <c r="BC16" s="62">
        <v>43.296759999999999</v>
      </c>
      <c r="BD16" s="62">
        <v>43.43092</v>
      </c>
      <c r="BE16" s="62">
        <v>43.743029999999997</v>
      </c>
    </row>
    <row r="17" spans="1:57">
      <c r="A17" s="104" t="s">
        <v>109</v>
      </c>
      <c r="B17" s="104" t="s">
        <v>110</v>
      </c>
      <c r="C17" s="62">
        <v>102.71299999999999</v>
      </c>
      <c r="D17" s="62">
        <v>112.012</v>
      </c>
      <c r="E17" s="62">
        <v>115.261</v>
      </c>
      <c r="F17" s="62">
        <v>125.614</v>
      </c>
      <c r="G17" s="62">
        <v>124.627</v>
      </c>
      <c r="H17" s="62">
        <v>119.37</v>
      </c>
      <c r="I17" s="62">
        <v>120.41</v>
      </c>
      <c r="J17" s="62">
        <v>118.078</v>
      </c>
      <c r="K17" s="62">
        <v>125.68600000000001</v>
      </c>
      <c r="L17" s="62">
        <v>127.587</v>
      </c>
      <c r="M17" s="62">
        <v>125.901</v>
      </c>
      <c r="N17" s="62">
        <v>126.852</v>
      </c>
      <c r="O17" s="62">
        <v>136.971</v>
      </c>
      <c r="P17" s="62">
        <v>126.27800000000001</v>
      </c>
      <c r="Q17" s="62">
        <v>115.212</v>
      </c>
      <c r="R17" s="62">
        <v>115.729</v>
      </c>
      <c r="S17" s="62">
        <v>107.166</v>
      </c>
      <c r="T17" s="62">
        <v>113.58799999999999</v>
      </c>
      <c r="U17" s="62">
        <v>89.8</v>
      </c>
      <c r="V17" s="62">
        <v>100.264</v>
      </c>
      <c r="W17" s="62">
        <v>93.381</v>
      </c>
      <c r="X17" s="62">
        <v>91.811999999999998</v>
      </c>
      <c r="Y17" s="62">
        <v>102.184</v>
      </c>
      <c r="Z17" s="62">
        <v>122.687</v>
      </c>
      <c r="AA17" s="62">
        <v>119.623</v>
      </c>
      <c r="AB17" s="62">
        <v>132.154</v>
      </c>
      <c r="AC17" s="62">
        <v>137.44499999999999</v>
      </c>
      <c r="AD17" s="62">
        <v>141.643</v>
      </c>
      <c r="AE17" s="62">
        <v>140.97800000000001</v>
      </c>
      <c r="AF17" s="62">
        <v>145.917</v>
      </c>
      <c r="AG17" s="62">
        <v>145.196</v>
      </c>
      <c r="AH17" s="62">
        <v>147.07599999999999</v>
      </c>
      <c r="AI17" s="62">
        <v>131.916</v>
      </c>
      <c r="AJ17" s="62">
        <v>128.49700000000001</v>
      </c>
      <c r="AK17" s="62">
        <v>118.80800000000001</v>
      </c>
      <c r="AL17" s="62">
        <v>146.392</v>
      </c>
      <c r="AM17" s="62">
        <v>161.4</v>
      </c>
      <c r="AN17" s="62">
        <v>157.82900000000001</v>
      </c>
      <c r="AO17" s="62">
        <v>178.768</v>
      </c>
      <c r="AP17" s="62">
        <v>172.86799999999999</v>
      </c>
      <c r="AQ17" s="62">
        <v>171.48</v>
      </c>
      <c r="AR17" s="62">
        <v>173.12200000000001</v>
      </c>
      <c r="AS17" s="62">
        <v>169.761</v>
      </c>
      <c r="AT17" s="62">
        <v>165.58</v>
      </c>
      <c r="AU17" s="62">
        <v>166.381</v>
      </c>
      <c r="AV17" s="62">
        <v>177.26400000000001</v>
      </c>
      <c r="AW17" s="62">
        <v>174.66499999999999</v>
      </c>
      <c r="AX17" s="62">
        <v>178.57300000000001</v>
      </c>
      <c r="AY17" s="62">
        <v>184.19900000000001</v>
      </c>
      <c r="AZ17" s="62">
        <v>200.99199999999999</v>
      </c>
      <c r="BA17" s="62">
        <v>220.45</v>
      </c>
      <c r="BB17" s="62">
        <v>212.65</v>
      </c>
      <c r="BC17" s="62">
        <v>202.9</v>
      </c>
      <c r="BD17" s="62">
        <v>213.05</v>
      </c>
      <c r="BE17" s="62">
        <v>218.3</v>
      </c>
    </row>
    <row r="18" spans="1:57">
      <c r="A18" s="104" t="s">
        <v>134</v>
      </c>
      <c r="B18" s="104" t="s">
        <v>135</v>
      </c>
      <c r="C18" s="62">
        <v>107.5746</v>
      </c>
      <c r="D18" s="62">
        <v>109.9843</v>
      </c>
      <c r="E18" s="62">
        <v>111.71210000000001</v>
      </c>
      <c r="F18" s="62">
        <v>118.44119999999999</v>
      </c>
      <c r="G18" s="62">
        <v>120.96</v>
      </c>
      <c r="H18" s="62">
        <v>119.9796</v>
      </c>
      <c r="I18" s="62">
        <v>123.0209</v>
      </c>
      <c r="J18" s="62">
        <v>131.01329999999999</v>
      </c>
      <c r="K18" s="62">
        <v>140.28530000000001</v>
      </c>
      <c r="L18" s="62">
        <v>133.42400000000001</v>
      </c>
      <c r="M18" s="62">
        <v>138.06</v>
      </c>
      <c r="N18" s="62">
        <v>144.84710000000001</v>
      </c>
      <c r="O18" s="62">
        <v>159.9049</v>
      </c>
      <c r="P18" s="62">
        <v>138.48650000000001</v>
      </c>
      <c r="Q18" s="62">
        <v>129.60400000000001</v>
      </c>
      <c r="R18" s="62">
        <v>141.08269999999999</v>
      </c>
      <c r="S18" s="62">
        <v>127.6754</v>
      </c>
      <c r="T18" s="62">
        <v>122.42789999999999</v>
      </c>
      <c r="U18" s="62">
        <v>107.11490000000001</v>
      </c>
      <c r="V18" s="62">
        <v>127.6461</v>
      </c>
      <c r="W18" s="62">
        <v>112.6936</v>
      </c>
      <c r="X18" s="62">
        <v>110.9479</v>
      </c>
      <c r="Y18" s="62">
        <v>121.6879</v>
      </c>
      <c r="Z18" s="62">
        <v>131.80160000000001</v>
      </c>
      <c r="AA18" s="62">
        <v>124.0218</v>
      </c>
      <c r="AB18" s="62">
        <v>140.72</v>
      </c>
      <c r="AC18" s="62">
        <v>144.3253</v>
      </c>
      <c r="AD18" s="62">
        <v>145.80529999999999</v>
      </c>
      <c r="AE18" s="62">
        <v>149.73320000000001</v>
      </c>
      <c r="AF18" s="62">
        <v>156.17060000000001</v>
      </c>
      <c r="AG18" s="62">
        <v>161.1266</v>
      </c>
      <c r="AH18" s="62">
        <v>156.84819999999999</v>
      </c>
      <c r="AI18" s="62">
        <v>153.4991</v>
      </c>
      <c r="AJ18" s="62">
        <v>151.9503</v>
      </c>
      <c r="AK18" s="62">
        <v>140.3348</v>
      </c>
      <c r="AL18" s="62">
        <v>163.2174</v>
      </c>
      <c r="AM18" s="62">
        <v>175.95570000000001</v>
      </c>
      <c r="AN18" s="62">
        <v>177.03980000000001</v>
      </c>
      <c r="AO18" s="62">
        <v>203.0779</v>
      </c>
      <c r="AP18" s="62">
        <v>202.93279999999999</v>
      </c>
      <c r="AQ18" s="62">
        <v>208.2081</v>
      </c>
      <c r="AR18" s="62">
        <v>223.45320000000001</v>
      </c>
      <c r="AS18" s="62">
        <v>220.3586</v>
      </c>
      <c r="AT18" s="62">
        <v>218.9341</v>
      </c>
      <c r="AU18" s="62">
        <v>225.66370000000001</v>
      </c>
      <c r="AV18" s="62">
        <v>232.04949999999999</v>
      </c>
      <c r="AW18" s="62">
        <v>233.03190000000001</v>
      </c>
      <c r="AX18" s="62">
        <v>239.22120000000001</v>
      </c>
      <c r="AY18" s="62">
        <v>236.6669</v>
      </c>
      <c r="AZ18" s="62">
        <v>241.03870000000001</v>
      </c>
      <c r="BA18" s="62">
        <v>229.839</v>
      </c>
      <c r="BB18" s="62">
        <v>207.04669999999999</v>
      </c>
      <c r="BC18" s="62">
        <v>200.61179999999999</v>
      </c>
      <c r="BD18" s="62">
        <v>221.35</v>
      </c>
      <c r="BE18" s="62">
        <v>225.8</v>
      </c>
    </row>
    <row r="19" spans="1:57">
      <c r="A19" s="104" t="s">
        <v>156</v>
      </c>
      <c r="B19" s="104" t="s">
        <v>157</v>
      </c>
      <c r="C19" s="62">
        <v>19.43573</v>
      </c>
      <c r="D19" s="62">
        <v>20.809170000000002</v>
      </c>
      <c r="E19" s="62">
        <v>20.282330000000002</v>
      </c>
      <c r="F19" s="62">
        <v>22.638909999999999</v>
      </c>
      <c r="G19" s="62">
        <v>23.696069999999999</v>
      </c>
      <c r="H19" s="62">
        <v>24.486540000000002</v>
      </c>
      <c r="I19" s="62">
        <v>25.116859999999999</v>
      </c>
      <c r="J19" s="62">
        <v>27.047899999999998</v>
      </c>
      <c r="K19" s="62">
        <v>27.523299999999999</v>
      </c>
      <c r="L19" s="62">
        <v>25.483509999999999</v>
      </c>
      <c r="M19" s="62">
        <v>25.123999999999999</v>
      </c>
      <c r="N19" s="62">
        <v>26.88167</v>
      </c>
      <c r="O19" s="62">
        <v>29.598310000000001</v>
      </c>
      <c r="P19" s="62">
        <v>26.668060000000001</v>
      </c>
      <c r="Q19" s="62">
        <v>26.549569999999999</v>
      </c>
      <c r="R19" s="62">
        <v>26.589919999999999</v>
      </c>
      <c r="S19" s="62">
        <v>25.996200000000002</v>
      </c>
      <c r="T19" s="62">
        <v>25.728190000000001</v>
      </c>
      <c r="U19" s="62">
        <v>22.9375</v>
      </c>
      <c r="V19" s="62">
        <v>26.688510000000001</v>
      </c>
      <c r="W19" s="62">
        <v>24.776119999999999</v>
      </c>
      <c r="X19" s="62">
        <v>24.127659999999999</v>
      </c>
      <c r="Y19" s="62">
        <v>26.268070000000002</v>
      </c>
      <c r="Z19" s="62">
        <v>27.937090000000001</v>
      </c>
      <c r="AA19" s="62">
        <v>26.53575</v>
      </c>
      <c r="AB19" s="62">
        <v>29.741679999999999</v>
      </c>
      <c r="AC19" s="62">
        <v>29.382860000000001</v>
      </c>
      <c r="AD19" s="62">
        <v>30.349609999999998</v>
      </c>
      <c r="AE19" s="62">
        <v>31.35661</v>
      </c>
      <c r="AF19" s="62">
        <v>32.858890000000002</v>
      </c>
      <c r="AG19" s="62">
        <v>34.606259999999999</v>
      </c>
      <c r="AH19" s="62">
        <v>35.000010000000003</v>
      </c>
      <c r="AI19" s="62">
        <v>33.828249999999997</v>
      </c>
      <c r="AJ19" s="62">
        <v>32.581110000000002</v>
      </c>
      <c r="AK19" s="62">
        <v>30.408370000000001</v>
      </c>
      <c r="AL19" s="62">
        <v>35.006410000000002</v>
      </c>
      <c r="AM19" s="62">
        <v>38.602060000000002</v>
      </c>
      <c r="AN19" s="62">
        <v>37.796390000000002</v>
      </c>
      <c r="AO19" s="62">
        <v>40.988329999999998</v>
      </c>
      <c r="AP19" s="62">
        <v>42.225430000000003</v>
      </c>
      <c r="AQ19" s="62">
        <v>44.927709999999998</v>
      </c>
      <c r="AR19" s="62">
        <v>49.451700000000002</v>
      </c>
      <c r="AS19" s="62">
        <v>50.853369999999998</v>
      </c>
      <c r="AT19" s="62">
        <v>50.271619999999999</v>
      </c>
      <c r="AU19" s="62">
        <v>50.735329999999998</v>
      </c>
      <c r="AV19" s="62">
        <v>51.039540000000002</v>
      </c>
      <c r="AW19" s="62">
        <v>49.986759999999997</v>
      </c>
      <c r="AX19" s="62">
        <v>52.963079999999998</v>
      </c>
      <c r="AY19" s="62">
        <v>51.160260000000001</v>
      </c>
      <c r="AZ19" s="62">
        <v>51.781889999999997</v>
      </c>
      <c r="BA19" s="62">
        <v>50.53201</v>
      </c>
      <c r="BB19" s="62">
        <v>47.290700000000001</v>
      </c>
      <c r="BC19" s="62">
        <v>46.25168</v>
      </c>
      <c r="BD19" s="62">
        <v>49.871569999999998</v>
      </c>
      <c r="BE19" s="62">
        <v>50.641309999999997</v>
      </c>
    </row>
    <row r="20" spans="1:57">
      <c r="A20" s="104" t="s">
        <v>160</v>
      </c>
      <c r="B20" s="104" t="s">
        <v>161</v>
      </c>
      <c r="C20" s="62">
        <v>80.355999999999995</v>
      </c>
      <c r="D20" s="62">
        <v>81.247</v>
      </c>
      <c r="E20" s="62">
        <v>77.034000000000006</v>
      </c>
      <c r="F20" s="62">
        <v>80.058999999999997</v>
      </c>
      <c r="G20" s="62">
        <v>80.337999999999994</v>
      </c>
      <c r="H20" s="62">
        <v>80.748999999999995</v>
      </c>
      <c r="I20" s="62">
        <v>78.981999999999999</v>
      </c>
      <c r="J20" s="62">
        <v>76.872</v>
      </c>
      <c r="K20" s="62">
        <v>78.488</v>
      </c>
      <c r="L20" s="62">
        <v>80.027000000000001</v>
      </c>
      <c r="M20" s="62">
        <v>79.837000000000003</v>
      </c>
      <c r="N20" s="62">
        <v>73.965000000000003</v>
      </c>
      <c r="O20" s="62">
        <v>78.924999999999997</v>
      </c>
      <c r="P20" s="62">
        <v>87.8</v>
      </c>
      <c r="Q20" s="62">
        <v>133.03</v>
      </c>
      <c r="R20" s="62">
        <v>180.73099999999999</v>
      </c>
      <c r="S20" s="62">
        <v>204.96100000000001</v>
      </c>
      <c r="T20" s="62">
        <v>183.20500000000001</v>
      </c>
      <c r="U20" s="62">
        <v>214.52099999999999</v>
      </c>
      <c r="V20" s="62">
        <v>173.33099999999999</v>
      </c>
      <c r="W20" s="62">
        <v>151.791</v>
      </c>
      <c r="X20" s="62">
        <v>152.32400000000001</v>
      </c>
      <c r="Y20" s="62">
        <v>159.77799999999999</v>
      </c>
      <c r="Z20" s="62">
        <v>189.11</v>
      </c>
      <c r="AA20" s="62">
        <v>180.107</v>
      </c>
      <c r="AB20" s="62">
        <v>208.32599999999999</v>
      </c>
      <c r="AC20" s="62">
        <v>232.52699999999999</v>
      </c>
      <c r="AD20" s="62">
        <v>265.34399999999999</v>
      </c>
      <c r="AE20" s="62">
        <v>255.857</v>
      </c>
      <c r="AF20" s="62">
        <v>231.76400000000001</v>
      </c>
      <c r="AG20" s="62">
        <v>246.13200000000001</v>
      </c>
      <c r="AH20" s="62">
        <v>253.02099999999999</v>
      </c>
      <c r="AI20" s="62">
        <v>247.215</v>
      </c>
      <c r="AJ20" s="62">
        <v>240.12899999999999</v>
      </c>
      <c r="AK20" s="62">
        <v>265.91300000000001</v>
      </c>
      <c r="AL20" s="62">
        <v>271.72000000000003</v>
      </c>
      <c r="AM20" s="62">
        <v>282.447</v>
      </c>
      <c r="AN20" s="62">
        <v>319.45</v>
      </c>
      <c r="AO20" s="62">
        <v>418.35599999999999</v>
      </c>
      <c r="AP20" s="62">
        <v>511.553</v>
      </c>
      <c r="AQ20" s="62">
        <v>507.02600000000001</v>
      </c>
      <c r="AR20" s="62">
        <v>523.55999999999995</v>
      </c>
      <c r="AS20" s="62">
        <v>471.62200000000001</v>
      </c>
      <c r="AT20" s="62">
        <v>500.67500000000001</v>
      </c>
      <c r="AU20" s="62">
        <v>537.68899999999996</v>
      </c>
      <c r="AV20" s="62">
        <v>482.06900000000002</v>
      </c>
      <c r="AW20" s="62">
        <v>471.22399999999999</v>
      </c>
      <c r="AX20" s="62">
        <v>619.07799999999997</v>
      </c>
      <c r="AY20" s="62">
        <v>611.51700000000005</v>
      </c>
      <c r="AZ20" s="62">
        <v>749.22199999999998</v>
      </c>
      <c r="BA20" s="62">
        <v>1040.752</v>
      </c>
      <c r="BB20" s="62">
        <v>1316.3630000000001</v>
      </c>
      <c r="BC20" s="62">
        <v>1484.0170000000001</v>
      </c>
      <c r="BD20" s="62">
        <v>1884</v>
      </c>
      <c r="BE20" s="62">
        <v>1787.5</v>
      </c>
    </row>
    <row r="21" spans="1:57">
      <c r="A21" s="104" t="s">
        <v>165</v>
      </c>
      <c r="B21" s="104" t="s">
        <v>166</v>
      </c>
      <c r="C21" s="62">
        <v>13.08034</v>
      </c>
      <c r="D21" s="62">
        <v>13.865399999999999</v>
      </c>
      <c r="E21" s="62">
        <v>14.4457</v>
      </c>
      <c r="F21" s="62">
        <v>14.66743</v>
      </c>
      <c r="G21" s="62">
        <v>14.837009999999999</v>
      </c>
      <c r="H21" s="62">
        <v>15.62276</v>
      </c>
      <c r="I21" s="62">
        <v>15.49338</v>
      </c>
      <c r="J21" s="62">
        <v>15.17206</v>
      </c>
      <c r="K21" s="62">
        <v>14.61896</v>
      </c>
      <c r="L21" s="62">
        <v>14.82507</v>
      </c>
      <c r="M21" s="62">
        <v>15.3698</v>
      </c>
      <c r="N21" s="62">
        <v>14.575139999999999</v>
      </c>
      <c r="O21" s="62">
        <v>15.61402</v>
      </c>
      <c r="P21" s="62">
        <v>15.1792</v>
      </c>
      <c r="Q21" s="62">
        <v>13.208819999999999</v>
      </c>
      <c r="R21" s="62">
        <v>12.994490000000001</v>
      </c>
      <c r="S21" s="62">
        <v>12.66217</v>
      </c>
      <c r="T21" s="62">
        <v>13.48123</v>
      </c>
      <c r="U21" s="62">
        <v>12.21678</v>
      </c>
      <c r="V21" s="62">
        <v>14.445790000000001</v>
      </c>
      <c r="W21" s="62">
        <v>13.058669999999999</v>
      </c>
      <c r="X21" s="62">
        <v>12.00666</v>
      </c>
      <c r="Y21" s="62">
        <v>13.68416</v>
      </c>
      <c r="Z21" s="62">
        <v>14.47011</v>
      </c>
      <c r="AA21" s="62">
        <v>13.96035</v>
      </c>
      <c r="AB21" s="62">
        <v>15.03655</v>
      </c>
      <c r="AC21" s="62">
        <v>15.67872</v>
      </c>
      <c r="AD21" s="62">
        <v>15.708600000000001</v>
      </c>
      <c r="AE21" s="62">
        <v>16.47748</v>
      </c>
      <c r="AF21" s="62">
        <v>15.229039999999999</v>
      </c>
      <c r="AG21" s="62">
        <v>16.74316</v>
      </c>
      <c r="AH21" s="62">
        <v>17.734020000000001</v>
      </c>
      <c r="AI21" s="62">
        <v>16.47203</v>
      </c>
      <c r="AJ21" s="62">
        <v>17.278279999999999</v>
      </c>
      <c r="AK21" s="62">
        <v>16.52703</v>
      </c>
      <c r="AL21" s="62">
        <v>18.852329999999998</v>
      </c>
      <c r="AM21" s="62">
        <v>20.822019999999998</v>
      </c>
      <c r="AN21" s="62">
        <v>19.654250000000001</v>
      </c>
      <c r="AO21" s="62">
        <v>22.47418</v>
      </c>
      <c r="AP21" s="62">
        <v>23.532070000000001</v>
      </c>
      <c r="AQ21" s="62">
        <v>22.590959999999999</v>
      </c>
      <c r="AR21" s="62">
        <v>23.111689999999999</v>
      </c>
      <c r="AS21" s="62">
        <v>22.358830000000001</v>
      </c>
      <c r="AT21" s="62">
        <v>22.10585</v>
      </c>
      <c r="AU21" s="62">
        <v>22.478950000000001</v>
      </c>
      <c r="AV21" s="62">
        <v>22.240390000000001</v>
      </c>
      <c r="AW21" s="62">
        <v>22.338370000000001</v>
      </c>
      <c r="AX21" s="62">
        <v>22.089939999999999</v>
      </c>
      <c r="AY21" s="62">
        <v>21.955380000000002</v>
      </c>
      <c r="AZ21" s="62">
        <v>24.990120000000001</v>
      </c>
      <c r="BA21" s="62">
        <v>27.952179999999998</v>
      </c>
      <c r="BB21" s="62">
        <v>25.271619999999999</v>
      </c>
      <c r="BC21" s="62">
        <v>23.935269999999999</v>
      </c>
      <c r="BD21" s="62">
        <v>24.412610000000001</v>
      </c>
      <c r="BE21" s="62">
        <v>23.803629999999998</v>
      </c>
    </row>
    <row r="22" spans="1:57">
      <c r="A22" s="104" t="s">
        <v>173</v>
      </c>
      <c r="B22" s="104" t="s">
        <v>174</v>
      </c>
      <c r="C22" s="62">
        <v>66.114500000000007</v>
      </c>
      <c r="D22" s="62">
        <v>68.740899999999996</v>
      </c>
      <c r="E22" s="62">
        <v>65.136300000000006</v>
      </c>
      <c r="F22" s="62">
        <v>71.838399999999993</v>
      </c>
      <c r="G22" s="62">
        <v>73.359899999999996</v>
      </c>
      <c r="H22" s="62">
        <v>78.840599999999995</v>
      </c>
      <c r="I22" s="62">
        <v>82.173100000000005</v>
      </c>
      <c r="J22" s="62">
        <v>87.383799999999994</v>
      </c>
      <c r="K22" s="62">
        <v>89.224999999999994</v>
      </c>
      <c r="L22" s="62">
        <v>85.395300000000006</v>
      </c>
      <c r="M22" s="62">
        <v>86.757800000000003</v>
      </c>
      <c r="N22" s="62">
        <v>89.096100000000007</v>
      </c>
      <c r="O22" s="62">
        <v>94.730199999999996</v>
      </c>
      <c r="P22" s="62">
        <v>82.670299999999997</v>
      </c>
      <c r="Q22" s="62">
        <v>78.085700000000003</v>
      </c>
      <c r="R22" s="62">
        <v>79.521799999999999</v>
      </c>
      <c r="S22" s="62">
        <v>78.0304</v>
      </c>
      <c r="T22" s="62">
        <v>75.683499999999995</v>
      </c>
      <c r="U22" s="62">
        <v>66.194800000000001</v>
      </c>
      <c r="V22" s="62">
        <v>75.044600000000003</v>
      </c>
      <c r="W22" s="62">
        <v>67.904700000000005</v>
      </c>
      <c r="X22" s="62">
        <v>62.624899999999997</v>
      </c>
      <c r="Y22" s="62">
        <v>72.470500000000001</v>
      </c>
      <c r="Z22" s="62">
        <v>72.789900000000003</v>
      </c>
      <c r="AA22" s="62">
        <v>70.290899999999993</v>
      </c>
      <c r="AB22" s="62">
        <v>76.773200000000003</v>
      </c>
      <c r="AC22" s="62">
        <v>82.297300000000007</v>
      </c>
      <c r="AD22" s="62">
        <v>78.990399999999994</v>
      </c>
      <c r="AE22" s="62">
        <v>80.512299999999996</v>
      </c>
      <c r="AF22" s="62">
        <v>83.105199999999996</v>
      </c>
      <c r="AG22" s="62">
        <v>87.143299999999996</v>
      </c>
      <c r="AH22" s="62">
        <v>87.450400000000002</v>
      </c>
      <c r="AI22" s="62">
        <v>87.431200000000004</v>
      </c>
      <c r="AJ22" s="62">
        <v>83.784199999999998</v>
      </c>
      <c r="AK22" s="62">
        <v>78.198599999999999</v>
      </c>
      <c r="AL22" s="62">
        <v>84.859099999999998</v>
      </c>
      <c r="AM22" s="62">
        <v>90.310400000000001</v>
      </c>
      <c r="AN22" s="62">
        <v>86.605800000000002</v>
      </c>
      <c r="AO22" s="62">
        <v>89.734499999999997</v>
      </c>
      <c r="AP22" s="62">
        <v>94.264499999999998</v>
      </c>
      <c r="AQ22" s="62">
        <v>92.959199999999996</v>
      </c>
      <c r="AR22" s="62">
        <v>97.102500000000006</v>
      </c>
      <c r="AS22" s="62">
        <v>90.7727</v>
      </c>
      <c r="AT22" s="62">
        <v>97.866799999999998</v>
      </c>
      <c r="AU22" s="62">
        <v>99.160200000000003</v>
      </c>
      <c r="AV22" s="62">
        <v>101.2179</v>
      </c>
      <c r="AW22" s="62">
        <v>101.51179999999999</v>
      </c>
      <c r="AX22" s="62">
        <v>92.967600000000004</v>
      </c>
      <c r="AY22" s="62">
        <v>92.144499999999994</v>
      </c>
      <c r="AZ22" s="62">
        <v>96.887</v>
      </c>
      <c r="BA22" s="62">
        <v>103.4225</v>
      </c>
      <c r="BB22" s="62">
        <v>95.28</v>
      </c>
      <c r="BC22" s="62">
        <v>94.358999999999995</v>
      </c>
      <c r="BD22" s="62">
        <v>106.95</v>
      </c>
      <c r="BE22" s="62">
        <v>113.5</v>
      </c>
    </row>
    <row r="23" spans="1:57">
      <c r="A23" s="104" t="s">
        <v>179</v>
      </c>
      <c r="B23" s="104" t="s">
        <v>180</v>
      </c>
      <c r="C23" s="62">
        <v>18.195489999999999</v>
      </c>
      <c r="D23" s="62">
        <v>18.614239999999999</v>
      </c>
      <c r="E23" s="62">
        <v>17.76108</v>
      </c>
      <c r="F23" s="62">
        <v>19.42061</v>
      </c>
      <c r="G23" s="62">
        <v>19.99344</v>
      </c>
      <c r="H23" s="62">
        <v>19.795349999999999</v>
      </c>
      <c r="I23" s="62">
        <v>20.675350000000002</v>
      </c>
      <c r="J23" s="62">
        <v>22.92033</v>
      </c>
      <c r="K23" s="62">
        <v>23.666229999999999</v>
      </c>
      <c r="L23" s="62">
        <v>23.258749999999999</v>
      </c>
      <c r="M23" s="62">
        <v>24.981590000000001</v>
      </c>
      <c r="N23" s="62">
        <v>25.519970000000001</v>
      </c>
      <c r="O23" s="62">
        <v>26.589369999999999</v>
      </c>
      <c r="P23" s="62">
        <v>25.31757</v>
      </c>
      <c r="Q23" s="62">
        <v>25.384840000000001</v>
      </c>
      <c r="R23" s="62">
        <v>26.309719999999999</v>
      </c>
      <c r="S23" s="62">
        <v>26.966370000000001</v>
      </c>
      <c r="T23" s="62">
        <v>25.294750000000001</v>
      </c>
      <c r="U23" s="62">
        <v>24.437639999999998</v>
      </c>
      <c r="V23" s="62">
        <v>27.362310000000001</v>
      </c>
      <c r="W23" s="62">
        <v>24.879349999999999</v>
      </c>
      <c r="X23" s="62">
        <v>23.81344</v>
      </c>
      <c r="Y23" s="62">
        <v>25.829550000000001</v>
      </c>
      <c r="Z23" s="62">
        <v>25.46387</v>
      </c>
      <c r="AA23" s="62">
        <v>24.582830000000001</v>
      </c>
      <c r="AB23" s="62">
        <v>25.92136</v>
      </c>
      <c r="AC23" s="62">
        <v>27.16358</v>
      </c>
      <c r="AD23" s="62">
        <v>28.292349999999999</v>
      </c>
      <c r="AE23" s="62">
        <v>29.117809999999999</v>
      </c>
      <c r="AF23" s="62">
        <v>28.213419999999999</v>
      </c>
      <c r="AG23" s="62">
        <v>29.467970000000001</v>
      </c>
      <c r="AH23" s="62">
        <v>29.544840000000001</v>
      </c>
      <c r="AI23" s="62">
        <v>29.264690000000002</v>
      </c>
      <c r="AJ23" s="62">
        <v>31.113330000000001</v>
      </c>
      <c r="AK23" s="62">
        <v>32.012320000000003</v>
      </c>
      <c r="AL23" s="62">
        <v>34.230930000000001</v>
      </c>
      <c r="AM23" s="62">
        <v>34.858980000000003</v>
      </c>
      <c r="AN23" s="62">
        <v>37.152380000000001</v>
      </c>
      <c r="AO23" s="62">
        <v>39.29</v>
      </c>
      <c r="AP23" s="62">
        <v>38.905940000000001</v>
      </c>
      <c r="AQ23" s="62">
        <v>37.587620000000001</v>
      </c>
      <c r="AR23" s="62">
        <v>39.453600000000002</v>
      </c>
      <c r="AS23" s="62">
        <v>42.248869999999997</v>
      </c>
      <c r="AT23" s="62">
        <v>42.928820000000002</v>
      </c>
      <c r="AU23" s="62">
        <v>41.555289999999999</v>
      </c>
      <c r="AV23" s="62">
        <v>41.721820000000001</v>
      </c>
      <c r="AW23" s="62">
        <v>41.685830000000003</v>
      </c>
      <c r="AX23" s="62">
        <v>44.119070000000001</v>
      </c>
      <c r="AY23" s="62">
        <v>43.417569999999998</v>
      </c>
      <c r="AZ23" s="62">
        <v>47.578890000000001</v>
      </c>
      <c r="BA23" s="62">
        <v>45.725749999999998</v>
      </c>
      <c r="BB23" s="62">
        <v>45.727139999999999</v>
      </c>
      <c r="BC23" s="62">
        <v>47.275889999999997</v>
      </c>
      <c r="BD23" s="62">
        <v>47.368490000000001</v>
      </c>
      <c r="BE23" s="62">
        <v>45.89987</v>
      </c>
    </row>
    <row r="24" spans="1:57">
      <c r="A24" s="104" t="s">
        <v>185</v>
      </c>
      <c r="B24" s="104" t="s">
        <v>186</v>
      </c>
      <c r="C24" s="62">
        <v>68.408699999999996</v>
      </c>
      <c r="D24" s="62">
        <v>64.389600000000002</v>
      </c>
      <c r="E24" s="62">
        <v>72.343699999999998</v>
      </c>
      <c r="F24" s="62">
        <v>73.453599999999994</v>
      </c>
      <c r="G24" s="62">
        <v>78.591700000000003</v>
      </c>
      <c r="H24" s="62">
        <v>79.898700000000005</v>
      </c>
      <c r="I24" s="62">
        <v>77.379300000000001</v>
      </c>
      <c r="J24" s="62">
        <v>76.708600000000004</v>
      </c>
      <c r="K24" s="62">
        <v>78.153099999999995</v>
      </c>
      <c r="L24" s="62">
        <v>77.516800000000003</v>
      </c>
      <c r="M24" s="62">
        <v>79.425700000000006</v>
      </c>
      <c r="N24" s="62">
        <v>72.433899999999994</v>
      </c>
      <c r="O24" s="62">
        <v>80.442599999999999</v>
      </c>
      <c r="P24" s="62">
        <v>83.689400000000006</v>
      </c>
      <c r="Q24" s="62">
        <v>81.836600000000004</v>
      </c>
      <c r="R24" s="62">
        <v>80.511899999999997</v>
      </c>
      <c r="S24" s="62">
        <v>82.351100000000002</v>
      </c>
      <c r="T24" s="62">
        <v>79.548100000000005</v>
      </c>
      <c r="U24" s="62">
        <v>75.361400000000003</v>
      </c>
      <c r="V24" s="62">
        <v>82.830100000000002</v>
      </c>
      <c r="W24" s="62">
        <v>81.827799999999996</v>
      </c>
      <c r="X24" s="62">
        <v>73.773600000000002</v>
      </c>
      <c r="Y24" s="62">
        <v>82.652699999999996</v>
      </c>
      <c r="Z24" s="62">
        <v>86.614500000000007</v>
      </c>
      <c r="AA24" s="62">
        <v>83.629300000000001</v>
      </c>
      <c r="AB24" s="62">
        <v>92.907499999999999</v>
      </c>
      <c r="AC24" s="62">
        <v>96.672600000000003</v>
      </c>
      <c r="AD24" s="62">
        <v>94.772099999999995</v>
      </c>
      <c r="AE24" s="62">
        <v>103.373</v>
      </c>
      <c r="AF24" s="62">
        <v>97.955600000000004</v>
      </c>
      <c r="AG24" s="62">
        <v>98.010800000000003</v>
      </c>
      <c r="AH24" s="62">
        <v>98.379400000000004</v>
      </c>
      <c r="AI24" s="62">
        <v>94.859899999999996</v>
      </c>
      <c r="AJ24" s="62">
        <v>96.757800000000003</v>
      </c>
      <c r="AK24" s="62">
        <v>96.260300000000001</v>
      </c>
      <c r="AL24" s="62">
        <v>104.48950000000001</v>
      </c>
      <c r="AM24" s="62">
        <v>105.7921</v>
      </c>
      <c r="AN24" s="62">
        <v>108.9371</v>
      </c>
      <c r="AO24" s="62">
        <v>110.1653</v>
      </c>
      <c r="AP24" s="62">
        <v>110.50020000000001</v>
      </c>
      <c r="AQ24" s="62">
        <v>105.79649999999999</v>
      </c>
      <c r="AR24" s="62">
        <v>109.82680000000001</v>
      </c>
      <c r="AS24" s="62">
        <v>94.406000000000006</v>
      </c>
      <c r="AT24" s="62">
        <v>101.3343</v>
      </c>
      <c r="AU24" s="62">
        <v>103.7813</v>
      </c>
      <c r="AV24" s="62">
        <v>100.7106</v>
      </c>
      <c r="AW24" s="62">
        <v>99.525400000000005</v>
      </c>
      <c r="AX24" s="62">
        <v>96.773200000000003</v>
      </c>
      <c r="AY24" s="62">
        <v>96.656899999999993</v>
      </c>
      <c r="AZ24" s="62">
        <v>101.2698</v>
      </c>
      <c r="BA24" s="62">
        <v>107.6658</v>
      </c>
      <c r="BB24" s="62">
        <v>112.7051</v>
      </c>
      <c r="BC24" s="62">
        <v>122.6</v>
      </c>
      <c r="BD24" s="62">
        <v>125.85</v>
      </c>
      <c r="BE24" s="62">
        <v>125.1</v>
      </c>
    </row>
    <row r="25" spans="1:57">
      <c r="A25" s="104" t="s">
        <v>188</v>
      </c>
      <c r="B25" s="104" t="s">
        <v>189</v>
      </c>
      <c r="C25" s="62">
        <v>20.407699999999998</v>
      </c>
      <c r="D25" s="62">
        <v>17.883800000000001</v>
      </c>
      <c r="E25" s="62">
        <v>18.637799999999999</v>
      </c>
      <c r="F25" s="62">
        <v>20.073599999999999</v>
      </c>
      <c r="G25" s="62">
        <v>21.346800000000002</v>
      </c>
      <c r="H25" s="62">
        <v>21.872599999999998</v>
      </c>
      <c r="I25" s="62">
        <v>22.527899999999999</v>
      </c>
      <c r="J25" s="62">
        <v>22.755500000000001</v>
      </c>
      <c r="K25" s="62">
        <v>22.3186</v>
      </c>
      <c r="L25" s="62">
        <v>22.9648</v>
      </c>
      <c r="M25" s="62">
        <v>24.8126</v>
      </c>
      <c r="N25" s="62">
        <v>22.604199999999999</v>
      </c>
      <c r="O25" s="62">
        <v>25.365300000000001</v>
      </c>
      <c r="P25" s="62">
        <v>22.613399999999999</v>
      </c>
      <c r="Q25" s="62">
        <v>22.475300000000001</v>
      </c>
      <c r="R25" s="62">
        <v>22.208400000000001</v>
      </c>
      <c r="S25" s="62">
        <v>22.631799999999998</v>
      </c>
      <c r="T25" s="62">
        <v>22.366599999999998</v>
      </c>
      <c r="U25" s="62">
        <v>22.534199999999998</v>
      </c>
      <c r="V25" s="62">
        <v>24.294899999999998</v>
      </c>
      <c r="W25" s="62">
        <v>23.270199999999999</v>
      </c>
      <c r="X25" s="62">
        <v>21.789000000000001</v>
      </c>
      <c r="Y25" s="62">
        <v>23.018599999999999</v>
      </c>
      <c r="Z25" s="62">
        <v>24.259499999999999</v>
      </c>
      <c r="AA25" s="62">
        <v>23.188700000000001</v>
      </c>
      <c r="AB25" s="62">
        <v>25.624099999999999</v>
      </c>
      <c r="AC25" s="62">
        <v>24.884899999999998</v>
      </c>
      <c r="AD25" s="62">
        <v>25.671500000000002</v>
      </c>
      <c r="AE25" s="62">
        <v>26.941299999999998</v>
      </c>
      <c r="AF25" s="62">
        <v>27.434100000000001</v>
      </c>
      <c r="AG25" s="62">
        <v>27.452999999999999</v>
      </c>
      <c r="AH25" s="62">
        <v>28.843800000000002</v>
      </c>
      <c r="AI25" s="62">
        <v>27.992100000000001</v>
      </c>
      <c r="AJ25" s="62">
        <v>27.7242</v>
      </c>
      <c r="AK25" s="62">
        <v>27.636900000000001</v>
      </c>
      <c r="AL25" s="62">
        <v>30.863099999999999</v>
      </c>
      <c r="AM25" s="62">
        <v>32.087600000000002</v>
      </c>
      <c r="AN25" s="62">
        <v>34.4101</v>
      </c>
      <c r="AO25" s="62">
        <v>33.671500000000002</v>
      </c>
      <c r="AP25" s="62">
        <v>35.644199999999998</v>
      </c>
      <c r="AQ25" s="62">
        <v>32.845500000000001</v>
      </c>
      <c r="AR25" s="62">
        <v>35.527099999999997</v>
      </c>
      <c r="AS25" s="62">
        <v>35.527099999999997</v>
      </c>
      <c r="AT25" s="62">
        <v>35.997399999999999</v>
      </c>
      <c r="AU25" s="62">
        <v>36.977200000000003</v>
      </c>
      <c r="AV25" s="62">
        <v>37.800199999999997</v>
      </c>
      <c r="AW25" s="62">
        <v>36.134599999999999</v>
      </c>
      <c r="AX25" s="62">
        <v>38.7209</v>
      </c>
      <c r="AY25" s="62">
        <v>40.323</v>
      </c>
      <c r="AZ25" s="62">
        <v>41.117600000000003</v>
      </c>
      <c r="BA25" s="62">
        <v>42.527900000000002</v>
      </c>
      <c r="BB25" s="62">
        <v>40.899099999999997</v>
      </c>
      <c r="BC25" s="62">
        <v>42.587499999999999</v>
      </c>
      <c r="BD25" s="62">
        <v>44.84</v>
      </c>
      <c r="BE25" s="62">
        <v>45.26</v>
      </c>
    </row>
    <row r="26" spans="1:57">
      <c r="A26" s="104" t="s">
        <v>61</v>
      </c>
      <c r="B26" s="104" t="s">
        <v>62</v>
      </c>
      <c r="C26" s="62">
        <v>241.28512000000001</v>
      </c>
      <c r="D26" s="62">
        <v>240.89816999999999</v>
      </c>
      <c r="E26" s="62">
        <v>229.68472</v>
      </c>
      <c r="F26" s="62">
        <v>240.85276999999999</v>
      </c>
      <c r="G26" s="62">
        <v>236.59130999999999</v>
      </c>
      <c r="H26" s="62">
        <v>248.34520000000001</v>
      </c>
      <c r="I26" s="62">
        <v>277.42995000000002</v>
      </c>
      <c r="J26" s="62">
        <v>284.53026</v>
      </c>
      <c r="K26" s="62">
        <v>296.83249000000001</v>
      </c>
      <c r="L26" s="62">
        <v>276.14979</v>
      </c>
      <c r="M26" s="62">
        <v>292.12464999999997</v>
      </c>
      <c r="N26" s="62">
        <v>301.57548000000003</v>
      </c>
      <c r="O26" s="62">
        <v>319.82278000000002</v>
      </c>
      <c r="P26" s="62">
        <v>298.57664</v>
      </c>
      <c r="Q26" s="62">
        <v>296.61657000000002</v>
      </c>
      <c r="R26" s="62">
        <v>321.33166999999997</v>
      </c>
      <c r="S26" s="62">
        <v>316.66739999999999</v>
      </c>
      <c r="T26" s="62">
        <v>284.38373999999999</v>
      </c>
      <c r="U26" s="62">
        <v>285.53694999999999</v>
      </c>
      <c r="V26" s="62">
        <v>291.10064</v>
      </c>
      <c r="W26" s="62">
        <v>288.27778999999998</v>
      </c>
      <c r="X26" s="62">
        <v>300.95371999999998</v>
      </c>
      <c r="Y26" s="62">
        <v>301.12056000000001</v>
      </c>
      <c r="Z26" s="62">
        <v>281.07247000000001</v>
      </c>
      <c r="AA26" s="62">
        <v>263.64186999999998</v>
      </c>
      <c r="AB26" s="62">
        <v>256.43182999999999</v>
      </c>
      <c r="AC26" s="62">
        <v>245.01985999999999</v>
      </c>
      <c r="AD26" s="62">
        <v>244.19255000000001</v>
      </c>
      <c r="AE26" s="62">
        <v>264.72235999999998</v>
      </c>
      <c r="AF26" s="62">
        <v>275.39821000000001</v>
      </c>
      <c r="AG26" s="62">
        <v>260.22717999999998</v>
      </c>
      <c r="AH26" s="62">
        <v>262.78773000000001</v>
      </c>
      <c r="AI26" s="62">
        <v>252.80710999999999</v>
      </c>
      <c r="AJ26" s="62">
        <v>240.62991</v>
      </c>
      <c r="AK26" s="62">
        <v>225.95523</v>
      </c>
      <c r="AL26" s="62">
        <v>230.26797999999999</v>
      </c>
      <c r="AM26" s="62">
        <v>244.74682999999999</v>
      </c>
      <c r="AN26" s="62">
        <v>246.21353999999999</v>
      </c>
      <c r="AO26" s="62">
        <v>225.83088000000001</v>
      </c>
      <c r="AP26" s="62">
        <v>228.50635</v>
      </c>
      <c r="AQ26" s="62">
        <v>217.89322000000001</v>
      </c>
      <c r="AR26" s="62">
        <v>228.21271999999999</v>
      </c>
      <c r="AS26" s="62">
        <v>250.83566999999999</v>
      </c>
      <c r="AT26" s="62">
        <v>290.68115</v>
      </c>
      <c r="AU26" s="62">
        <v>295.70877000000002</v>
      </c>
      <c r="AV26" s="62">
        <v>278.22791999999998</v>
      </c>
      <c r="AW26" s="62">
        <v>275.90892000000002</v>
      </c>
      <c r="AX26" s="62">
        <v>265.60878000000002</v>
      </c>
      <c r="AY26" s="62">
        <v>262.89429000000001</v>
      </c>
      <c r="AZ26" s="62">
        <v>292.60516999999999</v>
      </c>
      <c r="BA26" s="62">
        <v>308.86214000000001</v>
      </c>
      <c r="BB26" s="62">
        <v>303.80252000000002</v>
      </c>
      <c r="BC26" s="62">
        <v>288.39031999999997</v>
      </c>
      <c r="BD26" s="62">
        <v>284.50583999999998</v>
      </c>
      <c r="BE26" s="62">
        <v>276.59512999999998</v>
      </c>
    </row>
    <row r="27" spans="1:57">
      <c r="A27" s="104" t="s">
        <v>83</v>
      </c>
      <c r="B27" s="104" t="s">
        <v>84</v>
      </c>
      <c r="C27" s="62">
        <v>73.455020000000005</v>
      </c>
      <c r="D27" s="62">
        <v>76.010859999999994</v>
      </c>
      <c r="E27" s="62">
        <v>73.397069999999999</v>
      </c>
      <c r="F27" s="62">
        <v>77.920969999999997</v>
      </c>
      <c r="G27" s="62">
        <v>81.218639999999994</v>
      </c>
      <c r="H27" s="62">
        <v>85.710899999999995</v>
      </c>
      <c r="I27" s="62">
        <v>92.581040000000002</v>
      </c>
      <c r="J27" s="62">
        <v>88.713729999999998</v>
      </c>
      <c r="K27" s="62">
        <v>91.510559999999998</v>
      </c>
      <c r="L27" s="62">
        <v>96.167590000000004</v>
      </c>
      <c r="M27" s="62">
        <v>99.440169999999995</v>
      </c>
      <c r="N27" s="62">
        <v>89.558179999999993</v>
      </c>
      <c r="O27" s="62">
        <v>95.195840000000004</v>
      </c>
      <c r="P27" s="62">
        <v>95.239149999999995</v>
      </c>
      <c r="Q27" s="62">
        <v>101.54509</v>
      </c>
      <c r="R27" s="62">
        <v>112.67222</v>
      </c>
      <c r="S27" s="62">
        <v>119.52927</v>
      </c>
      <c r="T27" s="62">
        <v>115.30249000000001</v>
      </c>
      <c r="U27" s="62">
        <v>117.66735</v>
      </c>
      <c r="V27" s="62">
        <v>121.38066000000001</v>
      </c>
      <c r="W27" s="62">
        <v>116.25069000000001</v>
      </c>
      <c r="X27" s="62">
        <v>106.78498</v>
      </c>
      <c r="Y27" s="62">
        <v>112.34482</v>
      </c>
      <c r="Z27" s="62">
        <v>122.11763999999999</v>
      </c>
      <c r="AA27" s="62">
        <v>119.68386</v>
      </c>
      <c r="AB27" s="62">
        <v>113.48147</v>
      </c>
      <c r="AC27" s="62">
        <v>118.93375</v>
      </c>
      <c r="AD27" s="62">
        <v>122.26625</v>
      </c>
      <c r="AE27" s="62">
        <v>128.29968</v>
      </c>
      <c r="AF27" s="62">
        <v>130.09098</v>
      </c>
      <c r="AG27" s="62">
        <v>125.83602</v>
      </c>
      <c r="AH27" s="62">
        <v>125.20502</v>
      </c>
      <c r="AI27" s="62">
        <v>120.13702000000001</v>
      </c>
      <c r="AJ27" s="62">
        <v>123.55542</v>
      </c>
      <c r="AK27" s="62">
        <v>113.56357</v>
      </c>
      <c r="AL27" s="62">
        <v>113.17752</v>
      </c>
      <c r="AM27" s="62">
        <v>117.93352</v>
      </c>
      <c r="AN27" s="62">
        <v>118.70504</v>
      </c>
      <c r="AO27" s="62">
        <v>114.25729</v>
      </c>
      <c r="AP27" s="62">
        <v>122.3248</v>
      </c>
      <c r="AQ27" s="62">
        <v>138.38784999999999</v>
      </c>
      <c r="AR27" s="62">
        <v>140.14530999999999</v>
      </c>
      <c r="AS27" s="62">
        <v>142.79633999999999</v>
      </c>
      <c r="AT27" s="62">
        <v>143.89098999999999</v>
      </c>
      <c r="AU27" s="62">
        <v>155.34519</v>
      </c>
      <c r="AV27" s="62">
        <v>137.32154</v>
      </c>
      <c r="AW27" s="62">
        <v>128.86544000000001</v>
      </c>
      <c r="AX27" s="62">
        <v>125.94636</v>
      </c>
      <c r="AY27" s="62">
        <v>124.82239</v>
      </c>
      <c r="AZ27" s="62">
        <v>133.64875000000001</v>
      </c>
      <c r="BA27" s="62">
        <v>144.92365000000001</v>
      </c>
      <c r="BB27" s="62">
        <v>134.34645</v>
      </c>
      <c r="BC27" s="62">
        <v>126.08895</v>
      </c>
      <c r="BD27" s="62">
        <v>127.13826</v>
      </c>
      <c r="BE27" s="62">
        <v>117.98493999999999</v>
      </c>
    </row>
    <row r="28" spans="1:57">
      <c r="A28" s="104" t="s">
        <v>150</v>
      </c>
      <c r="B28" s="104" t="s">
        <v>151</v>
      </c>
      <c r="C28" s="62">
        <v>64.611199999999997</v>
      </c>
      <c r="D28" s="62">
        <v>63.338700000000003</v>
      </c>
      <c r="E28" s="62">
        <v>62.2303</v>
      </c>
      <c r="F28" s="62">
        <v>69.167599999999993</v>
      </c>
      <c r="G28" s="62">
        <v>71.647000000000006</v>
      </c>
      <c r="H28" s="62">
        <v>74.132099999999994</v>
      </c>
      <c r="I28" s="62">
        <v>75.316900000000004</v>
      </c>
      <c r="J28" s="62">
        <v>74.055400000000006</v>
      </c>
      <c r="K28" s="62">
        <v>74.686099999999996</v>
      </c>
      <c r="L28" s="62">
        <v>70.816299999999998</v>
      </c>
      <c r="M28" s="62">
        <v>73.671800000000005</v>
      </c>
      <c r="N28" s="62">
        <v>71.481200000000001</v>
      </c>
      <c r="O28" s="62">
        <v>75.504400000000004</v>
      </c>
      <c r="P28" s="62">
        <v>79.058899999999994</v>
      </c>
      <c r="Q28" s="62">
        <v>79.672600000000003</v>
      </c>
      <c r="R28" s="62">
        <v>78.854299999999995</v>
      </c>
      <c r="S28" s="62">
        <v>86.244500000000002</v>
      </c>
      <c r="T28" s="62">
        <v>88.105099999999993</v>
      </c>
      <c r="U28" s="62">
        <v>85.41</v>
      </c>
      <c r="V28" s="62">
        <v>86.181299999999993</v>
      </c>
      <c r="W28" s="62">
        <v>72.856499999999997</v>
      </c>
      <c r="X28" s="62">
        <v>69.505399999999995</v>
      </c>
      <c r="Y28" s="62">
        <v>77.422200000000004</v>
      </c>
      <c r="Z28" s="62">
        <v>76.668700000000001</v>
      </c>
      <c r="AA28" s="62">
        <v>79.647499999999994</v>
      </c>
      <c r="AB28" s="62">
        <v>79.496799999999993</v>
      </c>
      <c r="AC28" s="62">
        <v>78.805199999999999</v>
      </c>
      <c r="AD28" s="62">
        <v>88.867599999999996</v>
      </c>
      <c r="AE28" s="62">
        <v>88.654799999999994</v>
      </c>
      <c r="AF28" s="62">
        <v>87.254900000000006</v>
      </c>
      <c r="AG28" s="62">
        <v>90.308099999999996</v>
      </c>
      <c r="AH28" s="62">
        <v>89.287300000000002</v>
      </c>
      <c r="AI28" s="62">
        <v>90.712800000000001</v>
      </c>
      <c r="AJ28" s="62">
        <v>93.3245</v>
      </c>
      <c r="AK28" s="62">
        <v>78.812700000000007</v>
      </c>
      <c r="AL28" s="62">
        <v>78.591999999999999</v>
      </c>
      <c r="AM28" s="62">
        <v>82.546400000000006</v>
      </c>
      <c r="AN28" s="62">
        <v>85.857100000000003</v>
      </c>
      <c r="AO28" s="62">
        <v>80.826700000000002</v>
      </c>
      <c r="AP28" s="62">
        <v>83.65</v>
      </c>
      <c r="AQ28" s="62">
        <v>85.599599999999995</v>
      </c>
      <c r="AR28" s="62">
        <v>85.973299999999995</v>
      </c>
      <c r="AS28" s="62">
        <v>86.145700000000005</v>
      </c>
      <c r="AT28" s="62">
        <v>91.308300000000003</v>
      </c>
      <c r="AU28" s="62">
        <v>96.930700000000002</v>
      </c>
      <c r="AV28" s="62">
        <v>98.558999999999997</v>
      </c>
      <c r="AW28" s="62">
        <v>93.013199999999998</v>
      </c>
      <c r="AX28" s="62">
        <v>88.204999999999998</v>
      </c>
      <c r="AY28" s="62">
        <v>89.785399999999996</v>
      </c>
      <c r="AZ28" s="62">
        <v>99.995699999999999</v>
      </c>
      <c r="BA28" s="62">
        <v>99.957400000000007</v>
      </c>
      <c r="BB28" s="62">
        <v>97.6203</v>
      </c>
      <c r="BC28" s="62">
        <v>91.854299999999995</v>
      </c>
      <c r="BD28" s="62">
        <v>87.52</v>
      </c>
      <c r="BE28" s="62">
        <v>82.21</v>
      </c>
    </row>
    <row r="29" spans="1:57">
      <c r="A29" s="104" t="s">
        <v>195</v>
      </c>
      <c r="B29" s="104" t="s">
        <v>196</v>
      </c>
      <c r="C29" s="62">
        <v>12.383699999999999</v>
      </c>
      <c r="D29" s="62">
        <v>12.668950000000001</v>
      </c>
      <c r="E29" s="62">
        <v>11.568300000000001</v>
      </c>
      <c r="F29" s="62">
        <v>12.730230000000001</v>
      </c>
      <c r="G29" s="62">
        <v>12.96341</v>
      </c>
      <c r="H29" s="62">
        <v>13.348229999999999</v>
      </c>
      <c r="I29" s="62">
        <v>14.107849999999999</v>
      </c>
      <c r="J29" s="62">
        <v>14.18107</v>
      </c>
      <c r="K29" s="62">
        <v>14.71547</v>
      </c>
      <c r="L29" s="62">
        <v>14.110760000000001</v>
      </c>
      <c r="M29" s="62">
        <v>15.447929999999999</v>
      </c>
      <c r="N29" s="62">
        <v>15.644769999999999</v>
      </c>
      <c r="O29" s="62">
        <v>16.707850000000001</v>
      </c>
      <c r="P29" s="62">
        <v>17.21518</v>
      </c>
      <c r="Q29" s="62">
        <v>16.397020000000001</v>
      </c>
      <c r="R29" s="62">
        <v>17.338570000000001</v>
      </c>
      <c r="S29" s="62">
        <v>19.022659999999998</v>
      </c>
      <c r="T29" s="62">
        <v>18.232589999999998</v>
      </c>
      <c r="U29" s="62">
        <v>18.353480000000001</v>
      </c>
      <c r="V29" s="62">
        <v>18.238659999999999</v>
      </c>
      <c r="W29" s="62">
        <v>14.27337</v>
      </c>
      <c r="X29" s="62">
        <v>13.285299999999999</v>
      </c>
      <c r="Y29" s="62">
        <v>14.83122</v>
      </c>
      <c r="Z29" s="62">
        <v>14.723990000000001</v>
      </c>
      <c r="AA29" s="62">
        <v>14.67812</v>
      </c>
      <c r="AB29" s="62">
        <v>14.597160000000001</v>
      </c>
      <c r="AC29" s="62">
        <v>14.83775</v>
      </c>
      <c r="AD29" s="62">
        <v>14.81279</v>
      </c>
      <c r="AE29" s="62">
        <v>14.988379999999999</v>
      </c>
      <c r="AF29" s="62">
        <v>14.44487</v>
      </c>
      <c r="AG29" s="62">
        <v>14.903230000000001</v>
      </c>
      <c r="AH29" s="62">
        <v>14.9026</v>
      </c>
      <c r="AI29" s="62">
        <v>15.10356</v>
      </c>
      <c r="AJ29" s="62">
        <v>16.026209999999999</v>
      </c>
      <c r="AK29" s="62">
        <v>15.58459</v>
      </c>
      <c r="AL29" s="62">
        <v>15.46735</v>
      </c>
      <c r="AM29" s="62">
        <v>15.73071</v>
      </c>
      <c r="AN29" s="62">
        <v>17.282830000000001</v>
      </c>
      <c r="AO29" s="62">
        <v>18.46546</v>
      </c>
      <c r="AP29" s="62">
        <v>18.9711</v>
      </c>
      <c r="AQ29" s="62">
        <v>18.603819999999999</v>
      </c>
      <c r="AR29" s="62">
        <v>19.848379999999999</v>
      </c>
      <c r="AS29" s="62">
        <v>17.275289999999998</v>
      </c>
      <c r="AT29" s="62">
        <v>17.191849999999999</v>
      </c>
      <c r="AU29" s="62">
        <v>19.013010000000001</v>
      </c>
      <c r="AV29" s="62">
        <v>17.619969999999999</v>
      </c>
      <c r="AW29" s="62">
        <v>15.93369</v>
      </c>
      <c r="AX29" s="62">
        <v>15.707660000000001</v>
      </c>
      <c r="AY29" s="62">
        <v>15.917579999999999</v>
      </c>
      <c r="AZ29" s="62">
        <v>16.410309999999999</v>
      </c>
      <c r="BA29" s="62">
        <v>17.549309999999998</v>
      </c>
      <c r="BB29" s="62">
        <v>17.247530000000001</v>
      </c>
      <c r="BC29" s="62">
        <v>17.230820000000001</v>
      </c>
      <c r="BD29" s="62">
        <v>17.872890000000002</v>
      </c>
      <c r="BE29" s="62">
        <v>16.205439999999999</v>
      </c>
    </row>
    <row r="30" spans="1:57">
      <c r="A30" s="104" t="s">
        <v>50</v>
      </c>
      <c r="B30" s="104" t="s">
        <v>51</v>
      </c>
      <c r="C30" s="62">
        <v>83.416569999999993</v>
      </c>
      <c r="D30" s="62">
        <v>80.393180000000001</v>
      </c>
      <c r="E30" s="62">
        <v>75.036900000000003</v>
      </c>
      <c r="F30" s="62">
        <v>82.617170000000002</v>
      </c>
      <c r="G30" s="62">
        <v>88.32996</v>
      </c>
      <c r="H30" s="62">
        <v>89.71593</v>
      </c>
      <c r="I30" s="62">
        <v>93.585849999999994</v>
      </c>
      <c r="J30" s="62">
        <v>95.139809999999997</v>
      </c>
      <c r="K30" s="62">
        <v>95.331469999999996</v>
      </c>
      <c r="L30" s="62">
        <v>92.87527</v>
      </c>
      <c r="M30" s="62">
        <v>101.72705999999999</v>
      </c>
      <c r="N30" s="62">
        <v>100.96992</v>
      </c>
      <c r="O30" s="62">
        <v>109.71232999999999</v>
      </c>
      <c r="P30" s="62">
        <v>101.65814</v>
      </c>
      <c r="Q30" s="62">
        <v>103.63153</v>
      </c>
      <c r="R30" s="62">
        <v>104.76148000000001</v>
      </c>
      <c r="S30" s="62">
        <v>111.94968</v>
      </c>
      <c r="T30" s="62">
        <v>103.65197999999999</v>
      </c>
      <c r="U30" s="62">
        <v>101.56941999999999</v>
      </c>
      <c r="V30" s="62">
        <v>109.27500000000001</v>
      </c>
      <c r="W30" s="62">
        <v>106.48672999999999</v>
      </c>
      <c r="X30" s="62">
        <v>101.30668</v>
      </c>
      <c r="Y30" s="62">
        <v>100.3937</v>
      </c>
      <c r="Z30" s="62">
        <v>104.30888</v>
      </c>
      <c r="AA30" s="62">
        <v>98.868290000000002</v>
      </c>
      <c r="AB30" s="62">
        <v>101.90146</v>
      </c>
      <c r="AC30" s="62">
        <v>97.234970000000004</v>
      </c>
      <c r="AD30" s="62">
        <v>102.25805</v>
      </c>
      <c r="AE30" s="62">
        <v>108.77593</v>
      </c>
      <c r="AF30" s="62">
        <v>103.717</v>
      </c>
      <c r="AG30" s="62">
        <v>102.98381000000001</v>
      </c>
      <c r="AH30" s="62">
        <v>104.40832</v>
      </c>
      <c r="AI30" s="62">
        <v>103.94847</v>
      </c>
      <c r="AJ30" s="62">
        <v>100.26196</v>
      </c>
      <c r="AK30" s="62">
        <v>95.309960000000004</v>
      </c>
      <c r="AL30" s="62">
        <v>97.489720000000005</v>
      </c>
      <c r="AM30" s="62">
        <v>98.185810000000004</v>
      </c>
      <c r="AN30" s="62">
        <v>98.787329999999997</v>
      </c>
      <c r="AO30" s="62">
        <v>89.867720000000006</v>
      </c>
      <c r="AP30" s="62">
        <v>91.999139999999997</v>
      </c>
      <c r="AQ30" s="62">
        <v>90.819010000000006</v>
      </c>
      <c r="AR30" s="62">
        <v>94.148120000000006</v>
      </c>
      <c r="AS30" s="62">
        <v>91.958190000000002</v>
      </c>
      <c r="AT30" s="62">
        <v>90.413839999999993</v>
      </c>
      <c r="AU30" s="62">
        <v>93.459670000000003</v>
      </c>
      <c r="AV30" s="62">
        <v>87.11542</v>
      </c>
      <c r="AW30" s="62">
        <v>83.788489999999996</v>
      </c>
      <c r="AX30" s="62">
        <v>79.28792</v>
      </c>
      <c r="AY30" s="62">
        <v>76.835819999999998</v>
      </c>
      <c r="AZ30" s="62">
        <v>79.052059999999997</v>
      </c>
      <c r="BA30" s="62">
        <v>89.686809999999994</v>
      </c>
      <c r="BB30" s="62">
        <v>90.192059999999998</v>
      </c>
      <c r="BC30" s="62">
        <v>93.959770000000006</v>
      </c>
      <c r="BD30" s="62">
        <v>93.978009999999998</v>
      </c>
      <c r="BE30" s="62">
        <v>84.380780000000001</v>
      </c>
    </row>
    <row r="31" spans="1:57">
      <c r="A31" s="104" t="s">
        <v>117</v>
      </c>
      <c r="B31" s="104" t="s">
        <v>118</v>
      </c>
      <c r="C31" s="62">
        <v>41.749929999999999</v>
      </c>
      <c r="D31" s="62">
        <v>40.777630000000002</v>
      </c>
      <c r="E31" s="62">
        <v>37.047750000000001</v>
      </c>
      <c r="F31" s="62">
        <v>40.953539999999997</v>
      </c>
      <c r="G31" s="62">
        <v>41.832279999999997</v>
      </c>
      <c r="H31" s="62">
        <v>42.64949</v>
      </c>
      <c r="I31" s="62">
        <v>42.728819999999999</v>
      </c>
      <c r="J31" s="62">
        <v>42.191020000000002</v>
      </c>
      <c r="K31" s="62">
        <v>41.237299999999998</v>
      </c>
      <c r="L31" s="62">
        <v>40.770589999999999</v>
      </c>
      <c r="M31" s="62">
        <v>40.563229999999997</v>
      </c>
      <c r="N31" s="62">
        <v>39.963700000000003</v>
      </c>
      <c r="O31" s="62">
        <v>41.41966</v>
      </c>
      <c r="P31" s="62">
        <v>40.060670000000002</v>
      </c>
      <c r="Q31" s="62">
        <v>39.914700000000003</v>
      </c>
      <c r="R31" s="62">
        <v>36.51726</v>
      </c>
      <c r="S31" s="62">
        <v>39.53051</v>
      </c>
      <c r="T31" s="62">
        <v>40.498359999999998</v>
      </c>
      <c r="U31" s="62">
        <v>38.917209999999997</v>
      </c>
      <c r="V31" s="62">
        <v>43.017940000000003</v>
      </c>
      <c r="W31" s="62">
        <v>41.24053</v>
      </c>
      <c r="X31" s="62">
        <v>40.998570000000001</v>
      </c>
      <c r="Y31" s="62">
        <v>41.887149999999998</v>
      </c>
      <c r="Z31" s="62">
        <v>43.998130000000003</v>
      </c>
      <c r="AA31" s="62">
        <v>43.314959999999999</v>
      </c>
      <c r="AB31" s="62">
        <v>42.741129999999998</v>
      </c>
      <c r="AC31" s="62">
        <v>43.659869999999998</v>
      </c>
      <c r="AD31" s="62">
        <v>44.044249999999998</v>
      </c>
      <c r="AE31" s="62">
        <v>46.795250000000003</v>
      </c>
      <c r="AF31" s="62">
        <v>43.792099999999998</v>
      </c>
      <c r="AG31" s="62">
        <v>44.547029999999999</v>
      </c>
      <c r="AH31" s="62">
        <v>45.699820000000003</v>
      </c>
      <c r="AI31" s="62">
        <v>44.472940000000001</v>
      </c>
      <c r="AJ31" s="62">
        <v>44.143000000000001</v>
      </c>
      <c r="AK31" s="62">
        <v>42.074069999999999</v>
      </c>
      <c r="AL31" s="62">
        <v>41.536720000000003</v>
      </c>
      <c r="AM31" s="62">
        <v>41.681289999999997</v>
      </c>
      <c r="AN31" s="62">
        <v>42.877380000000002</v>
      </c>
      <c r="AO31" s="62">
        <v>43.343690000000002</v>
      </c>
      <c r="AP31" s="62">
        <v>44.606830000000002</v>
      </c>
      <c r="AQ31" s="62">
        <v>46.522599999999997</v>
      </c>
      <c r="AR31" s="62">
        <v>48.599150000000002</v>
      </c>
      <c r="AS31" s="62">
        <v>49.606720000000003</v>
      </c>
      <c r="AT31" s="62">
        <v>54.892119999999998</v>
      </c>
      <c r="AU31" s="62">
        <v>56.80142</v>
      </c>
      <c r="AV31" s="62">
        <v>56.73113</v>
      </c>
      <c r="AW31" s="62">
        <v>54.611669999999997</v>
      </c>
      <c r="AX31" s="62">
        <v>55.639629999999997</v>
      </c>
      <c r="AY31" s="62">
        <v>54.082259999999998</v>
      </c>
      <c r="AZ31" s="62">
        <v>54.421790000000001</v>
      </c>
      <c r="BA31" s="62">
        <v>53.871220000000001</v>
      </c>
      <c r="BB31" s="62">
        <v>54.563630000000003</v>
      </c>
      <c r="BC31" s="62">
        <v>55.457090000000001</v>
      </c>
      <c r="BD31" s="62">
        <v>55.82461</v>
      </c>
      <c r="BE31" s="62">
        <v>51.589260000000003</v>
      </c>
    </row>
    <row r="32" spans="1:57">
      <c r="A32" s="104" t="s">
        <v>182</v>
      </c>
      <c r="B32" s="104" t="s">
        <v>183</v>
      </c>
      <c r="C32" s="62">
        <v>288.85399999999998</v>
      </c>
      <c r="D32" s="62">
        <v>269.61599999999999</v>
      </c>
      <c r="E32" s="62">
        <v>281.41899999999998</v>
      </c>
      <c r="F32" s="62">
        <v>303.72500000000002</v>
      </c>
      <c r="G32" s="62">
        <v>321.27499999999998</v>
      </c>
      <c r="H32" s="62">
        <v>346.33600000000001</v>
      </c>
      <c r="I32" s="62">
        <v>353.38900000000001</v>
      </c>
      <c r="J32" s="62">
        <v>362.887</v>
      </c>
      <c r="K32" s="62">
        <v>372.666</v>
      </c>
      <c r="L32" s="62">
        <v>335.56900000000002</v>
      </c>
      <c r="M32" s="62">
        <v>371.39699999999999</v>
      </c>
      <c r="N32" s="62">
        <v>373.79500000000002</v>
      </c>
      <c r="O32" s="62">
        <v>392.08499999999998</v>
      </c>
      <c r="P32" s="62">
        <v>354.37599999999998</v>
      </c>
      <c r="Q32" s="62">
        <v>333.82900000000001</v>
      </c>
      <c r="R32" s="62">
        <v>342.15199999999999</v>
      </c>
      <c r="S32" s="62">
        <v>332.81700000000001</v>
      </c>
      <c r="T32" s="62">
        <v>313.40499999999997</v>
      </c>
      <c r="U32" s="62">
        <v>314.12</v>
      </c>
      <c r="V32" s="62">
        <v>351.13200000000001</v>
      </c>
      <c r="W32" s="62">
        <v>327.42700000000002</v>
      </c>
      <c r="X32" s="62">
        <v>315.02600000000001</v>
      </c>
      <c r="Y32" s="62">
        <v>303.43700000000001</v>
      </c>
      <c r="Z32" s="62">
        <v>338.44499999999999</v>
      </c>
      <c r="AA32" s="62">
        <v>318.22199999999998</v>
      </c>
      <c r="AB32" s="62">
        <v>360.62299999999999</v>
      </c>
      <c r="AC32" s="62">
        <v>357.80900000000003</v>
      </c>
      <c r="AD32" s="62">
        <v>392.29300000000001</v>
      </c>
      <c r="AE32" s="62">
        <v>418.61</v>
      </c>
      <c r="AF32" s="62">
        <v>385.96300000000002</v>
      </c>
      <c r="AG32" s="62">
        <v>413.14499999999998</v>
      </c>
      <c r="AH32" s="62">
        <v>409.37200000000001</v>
      </c>
      <c r="AI32" s="62">
        <v>392.541</v>
      </c>
      <c r="AJ32" s="62">
        <v>380.35199999999998</v>
      </c>
      <c r="AK32" s="62">
        <v>383.20600000000002</v>
      </c>
      <c r="AL32" s="62">
        <v>416.96600000000001</v>
      </c>
      <c r="AM32" s="62">
        <v>435.92500000000001</v>
      </c>
      <c r="AN32" s="62">
        <v>430.17</v>
      </c>
      <c r="AO32" s="62">
        <v>427.26799999999997</v>
      </c>
      <c r="AP32" s="62">
        <v>424.31700000000001</v>
      </c>
      <c r="AQ32" s="62">
        <v>431.82499999999999</v>
      </c>
      <c r="AR32" s="62">
        <v>444.05399999999997</v>
      </c>
      <c r="AS32" s="62">
        <v>402.75200000000001</v>
      </c>
      <c r="AT32" s="62">
        <v>393.51900000000001</v>
      </c>
      <c r="AU32" s="62">
        <v>389.541</v>
      </c>
      <c r="AV32" s="62">
        <v>394.89400000000001</v>
      </c>
      <c r="AW32" s="62">
        <v>338.12299999999999</v>
      </c>
      <c r="AX32" s="62">
        <v>322.80099999999999</v>
      </c>
      <c r="AY32" s="62">
        <v>335.76600000000002</v>
      </c>
      <c r="AZ32" s="62">
        <v>352.11900000000003</v>
      </c>
      <c r="BA32" s="62">
        <v>346.71699999999998</v>
      </c>
      <c r="BB32" s="62">
        <v>336.74799999999999</v>
      </c>
      <c r="BC32" s="62">
        <v>380.11200000000002</v>
      </c>
      <c r="BD32" s="62">
        <v>372.4</v>
      </c>
      <c r="BE32" s="62">
        <v>363.1</v>
      </c>
    </row>
    <row r="33" spans="1:57">
      <c r="A33" s="104" t="s">
        <v>204</v>
      </c>
      <c r="B33" s="104" t="s">
        <v>205</v>
      </c>
      <c r="C33" s="62">
        <v>45.510100000000001</v>
      </c>
      <c r="D33" s="62">
        <v>46.5259</v>
      </c>
      <c r="E33" s="62">
        <v>47.795699999999997</v>
      </c>
      <c r="F33" s="62">
        <v>49.5227</v>
      </c>
      <c r="G33" s="62">
        <v>49.6327</v>
      </c>
      <c r="H33" s="62">
        <v>51.026600000000002</v>
      </c>
      <c r="I33" s="62">
        <v>51.963099999999997</v>
      </c>
      <c r="J33" s="62">
        <v>54.317500000000003</v>
      </c>
      <c r="K33" s="62">
        <v>54.151200000000003</v>
      </c>
      <c r="L33" s="62">
        <v>51.683100000000003</v>
      </c>
      <c r="M33" s="62">
        <v>49.319899999999997</v>
      </c>
      <c r="N33" s="62">
        <v>45.503799999999998</v>
      </c>
      <c r="O33" s="62">
        <v>47.779499999999999</v>
      </c>
      <c r="P33" s="62">
        <v>48.357100000000003</v>
      </c>
      <c r="Q33" s="62">
        <v>47.534399999999998</v>
      </c>
      <c r="R33" s="62">
        <v>43.788400000000003</v>
      </c>
      <c r="S33" s="62">
        <v>50.448999999999998</v>
      </c>
      <c r="T33" s="62">
        <v>49.624499999999998</v>
      </c>
      <c r="U33" s="62">
        <v>48.291699999999999</v>
      </c>
      <c r="V33" s="62">
        <v>48.790399999999998</v>
      </c>
      <c r="W33" s="62">
        <v>47.611600000000003</v>
      </c>
      <c r="X33" s="62">
        <v>44.039200000000001</v>
      </c>
      <c r="Y33" s="62">
        <v>45.643999999999998</v>
      </c>
      <c r="Z33" s="62">
        <v>45.408299999999997</v>
      </c>
      <c r="AA33" s="62">
        <v>44.637599999999999</v>
      </c>
      <c r="AB33" s="62">
        <v>45.616799999999998</v>
      </c>
      <c r="AC33" s="62">
        <v>48.273499999999999</v>
      </c>
      <c r="AD33" s="62">
        <v>51.963900000000002</v>
      </c>
      <c r="AE33" s="62">
        <v>54.393900000000002</v>
      </c>
      <c r="AF33" s="62">
        <v>51.893700000000003</v>
      </c>
      <c r="AG33" s="62">
        <v>52.643900000000002</v>
      </c>
      <c r="AH33" s="62">
        <v>52.071899999999999</v>
      </c>
      <c r="AI33" s="62">
        <v>50.477699999999999</v>
      </c>
      <c r="AJ33" s="62">
        <v>49.005499999999998</v>
      </c>
      <c r="AK33" s="62">
        <v>52.653300000000002</v>
      </c>
      <c r="AL33" s="62">
        <v>55.297600000000003</v>
      </c>
      <c r="AM33" s="62">
        <v>55.025700000000001</v>
      </c>
      <c r="AN33" s="62">
        <v>57.895099999999999</v>
      </c>
      <c r="AO33" s="62">
        <v>55.344499999999996</v>
      </c>
      <c r="AP33" s="62">
        <v>56.160299999999999</v>
      </c>
      <c r="AQ33" s="62">
        <v>55.006900000000002</v>
      </c>
      <c r="AR33" s="62">
        <v>57.468000000000004</v>
      </c>
      <c r="AS33" s="62">
        <v>55.484999999999999</v>
      </c>
      <c r="AT33" s="62">
        <v>58.478900000000003</v>
      </c>
      <c r="AU33" s="62">
        <v>61.045099999999998</v>
      </c>
      <c r="AV33" s="62">
        <v>63.514099999999999</v>
      </c>
      <c r="AW33" s="62">
        <v>63.864100000000001</v>
      </c>
      <c r="AX33" s="62">
        <v>62.853099999999998</v>
      </c>
      <c r="AY33" s="62">
        <v>63.3003</v>
      </c>
      <c r="AZ33" s="62">
        <v>65.594300000000004</v>
      </c>
      <c r="BA33" s="62">
        <v>66.9358</v>
      </c>
      <c r="BB33" s="62">
        <v>68.860399999999998</v>
      </c>
      <c r="BC33" s="62">
        <v>73.837400000000002</v>
      </c>
      <c r="BD33" s="62">
        <v>75.239999999999995</v>
      </c>
      <c r="BE33" s="62">
        <v>69.36</v>
      </c>
    </row>
    <row r="34" spans="1:57">
      <c r="A34" s="104" t="s">
        <v>207</v>
      </c>
      <c r="B34" s="104" t="s">
        <v>208</v>
      </c>
      <c r="C34" s="62">
        <v>19.6496</v>
      </c>
      <c r="D34" s="62">
        <v>20.0578</v>
      </c>
      <c r="E34" s="62">
        <v>18.569800000000001</v>
      </c>
      <c r="F34" s="62">
        <v>20.1938</v>
      </c>
      <c r="G34" s="62">
        <v>19.376200000000001</v>
      </c>
      <c r="H34" s="62">
        <v>20.444900000000001</v>
      </c>
      <c r="I34" s="62">
        <v>21.695399999999999</v>
      </c>
      <c r="J34" s="62">
        <v>22.669</v>
      </c>
      <c r="K34" s="62">
        <v>25.105699999999999</v>
      </c>
      <c r="L34" s="62">
        <v>25.250699999999998</v>
      </c>
      <c r="M34" s="62">
        <v>24.719100000000001</v>
      </c>
      <c r="N34" s="62">
        <v>26.0548</v>
      </c>
      <c r="O34" s="62">
        <v>26.481000000000002</v>
      </c>
      <c r="P34" s="62">
        <v>25.2683</v>
      </c>
      <c r="Q34" s="62">
        <v>24.1479</v>
      </c>
      <c r="R34" s="62">
        <v>25.584599999999998</v>
      </c>
      <c r="S34" s="62">
        <v>25.144100000000002</v>
      </c>
      <c r="T34" s="62">
        <v>23.0092</v>
      </c>
      <c r="U34" s="62">
        <v>22.252800000000001</v>
      </c>
      <c r="V34" s="62">
        <v>24.0654</v>
      </c>
      <c r="W34" s="62">
        <v>24.9374</v>
      </c>
      <c r="X34" s="62">
        <v>23.786100000000001</v>
      </c>
      <c r="Y34" s="62">
        <v>25.710999999999999</v>
      </c>
      <c r="Z34" s="62">
        <v>25.315100000000001</v>
      </c>
      <c r="AA34" s="62">
        <v>24.427700000000002</v>
      </c>
      <c r="AB34" s="62">
        <v>24.9237</v>
      </c>
      <c r="AC34" s="62">
        <v>27.317299999999999</v>
      </c>
      <c r="AD34" s="62">
        <v>28.659800000000001</v>
      </c>
      <c r="AE34" s="62">
        <v>28.959900000000001</v>
      </c>
      <c r="AF34" s="62">
        <v>27.512899999999998</v>
      </c>
      <c r="AG34" s="62">
        <v>28.997</v>
      </c>
      <c r="AH34" s="62">
        <v>29.113</v>
      </c>
      <c r="AI34" s="62">
        <v>28.4361</v>
      </c>
      <c r="AJ34" s="62">
        <v>26.8765</v>
      </c>
      <c r="AK34" s="62">
        <v>26.386399999999998</v>
      </c>
      <c r="AL34" s="62">
        <v>25.029399999999999</v>
      </c>
      <c r="AM34" s="62">
        <v>24.515799999999999</v>
      </c>
      <c r="AN34" s="62">
        <v>24.511099999999999</v>
      </c>
      <c r="AO34" s="62">
        <v>25.934100000000001</v>
      </c>
      <c r="AP34" s="62">
        <v>26.122599999999998</v>
      </c>
      <c r="AQ34" s="62">
        <v>27.414300000000001</v>
      </c>
      <c r="AR34" s="62">
        <v>27.5107</v>
      </c>
      <c r="AS34" s="62">
        <v>26.594999999999999</v>
      </c>
      <c r="AT34" s="62">
        <v>28.706</v>
      </c>
      <c r="AU34" s="62">
        <v>30.439</v>
      </c>
      <c r="AV34" s="62">
        <v>30.409600000000001</v>
      </c>
      <c r="AW34" s="62">
        <v>29.704000000000001</v>
      </c>
      <c r="AX34" s="62">
        <v>31.997199999999999</v>
      </c>
      <c r="AY34" s="62">
        <v>30.860399999999998</v>
      </c>
      <c r="AZ34" s="62">
        <v>33.476999999999997</v>
      </c>
      <c r="BA34" s="62">
        <v>33.290799999999997</v>
      </c>
      <c r="BB34" s="62">
        <v>33.869</v>
      </c>
      <c r="BC34" s="62">
        <v>36.14</v>
      </c>
      <c r="BD34" s="62">
        <v>37.18</v>
      </c>
      <c r="BE34" s="62">
        <v>35.5</v>
      </c>
    </row>
    <row r="35" spans="1:57">
      <c r="A35" s="104" t="s">
        <v>213</v>
      </c>
      <c r="B35" s="104" t="s">
        <v>214</v>
      </c>
      <c r="C35" s="62">
        <v>284.67</v>
      </c>
      <c r="D35" s="62">
        <v>251.607</v>
      </c>
      <c r="E35" s="62">
        <v>277.50299999999999</v>
      </c>
      <c r="F35" s="62">
        <v>254.37799999999999</v>
      </c>
      <c r="G35" s="62">
        <v>246.06399999999999</v>
      </c>
      <c r="H35" s="62">
        <v>289.255</v>
      </c>
      <c r="I35" s="62">
        <v>302.92099999999999</v>
      </c>
      <c r="J35" s="62">
        <v>295.91899999999998</v>
      </c>
      <c r="K35" s="62">
        <v>289.15899999999999</v>
      </c>
      <c r="L35" s="62">
        <v>263.13099999999997</v>
      </c>
      <c r="M35" s="62">
        <v>273.75400000000002</v>
      </c>
      <c r="N35" s="62">
        <v>245.65</v>
      </c>
      <c r="O35" s="62">
        <v>244.53899999999999</v>
      </c>
      <c r="P35" s="62">
        <v>234.25299999999999</v>
      </c>
      <c r="Q35" s="62">
        <v>201.61</v>
      </c>
      <c r="R35" s="62">
        <v>205.714</v>
      </c>
      <c r="S35" s="62">
        <v>183.655</v>
      </c>
      <c r="T35" s="62">
        <v>182.005</v>
      </c>
      <c r="U35" s="62">
        <v>165.59700000000001</v>
      </c>
      <c r="V35" s="62">
        <v>165.125</v>
      </c>
      <c r="W35" s="62">
        <v>145.62799999999999</v>
      </c>
      <c r="X35" s="62">
        <v>115.093</v>
      </c>
      <c r="Y35" s="62">
        <v>97.376999999999995</v>
      </c>
      <c r="Z35" s="62">
        <v>121.291</v>
      </c>
      <c r="AA35" s="62">
        <v>125.383</v>
      </c>
      <c r="AB35" s="62">
        <v>144.88</v>
      </c>
      <c r="AC35" s="62">
        <v>139.096</v>
      </c>
      <c r="AD35" s="62">
        <v>159.22200000000001</v>
      </c>
      <c r="AE35" s="62">
        <v>156.822</v>
      </c>
      <c r="AF35" s="62">
        <v>149.77500000000001</v>
      </c>
      <c r="AG35" s="62">
        <v>175.952</v>
      </c>
      <c r="AH35" s="62">
        <v>181.78</v>
      </c>
      <c r="AI35" s="62">
        <v>182.333</v>
      </c>
      <c r="AJ35" s="62">
        <v>163.84100000000001</v>
      </c>
      <c r="AK35" s="62">
        <v>165.185</v>
      </c>
      <c r="AL35" s="62">
        <v>189.72200000000001</v>
      </c>
      <c r="AM35" s="62">
        <v>181.91900000000001</v>
      </c>
      <c r="AN35" s="62">
        <v>160.95699999999999</v>
      </c>
      <c r="AO35" s="62">
        <v>184.88200000000001</v>
      </c>
      <c r="AP35" s="62">
        <v>204.23400000000001</v>
      </c>
      <c r="AQ35" s="62">
        <v>223.05199999999999</v>
      </c>
      <c r="AR35" s="62">
        <v>229.78</v>
      </c>
      <c r="AS35" s="62">
        <v>221.25899999999999</v>
      </c>
      <c r="AT35" s="62">
        <v>227.99700000000001</v>
      </c>
      <c r="AU35" s="62">
        <v>229.38399999999999</v>
      </c>
      <c r="AV35" s="62">
        <v>235.82400000000001</v>
      </c>
      <c r="AW35" s="62">
        <v>218.286</v>
      </c>
      <c r="AX35" s="62">
        <v>220.76300000000001</v>
      </c>
      <c r="AY35" s="62">
        <v>234.63499999999999</v>
      </c>
      <c r="AZ35" s="62">
        <v>251.084</v>
      </c>
      <c r="BA35" s="62">
        <v>242.46299999999999</v>
      </c>
      <c r="BB35" s="62">
        <v>215.809</v>
      </c>
      <c r="BC35" s="62">
        <v>201.04499999999999</v>
      </c>
      <c r="BD35" s="62">
        <v>220.5</v>
      </c>
      <c r="BE35" s="62">
        <v>198.05</v>
      </c>
    </row>
    <row r="36" spans="1:57">
      <c r="A36" s="104" t="s">
        <v>216</v>
      </c>
      <c r="B36" s="104" t="s">
        <v>217</v>
      </c>
      <c r="C36" s="62">
        <v>34.783000000000001</v>
      </c>
      <c r="D36" s="62">
        <v>34.915999999999997</v>
      </c>
      <c r="E36" s="62">
        <v>39.869</v>
      </c>
      <c r="F36" s="62">
        <v>45.628999999999998</v>
      </c>
      <c r="G36" s="62">
        <v>45.366</v>
      </c>
      <c r="H36" s="62">
        <v>46.622</v>
      </c>
      <c r="I36" s="62">
        <v>46.316000000000003</v>
      </c>
      <c r="J36" s="62">
        <v>46.100999999999999</v>
      </c>
      <c r="K36" s="62">
        <v>43.710999999999999</v>
      </c>
      <c r="L36" s="62">
        <v>47.051000000000002</v>
      </c>
      <c r="M36" s="62">
        <v>52.493000000000002</v>
      </c>
      <c r="N36" s="62">
        <v>50.997999999999998</v>
      </c>
      <c r="O36" s="62">
        <v>49.341000000000001</v>
      </c>
      <c r="P36" s="62">
        <v>51.195</v>
      </c>
      <c r="Q36" s="62">
        <v>50.406999999999996</v>
      </c>
      <c r="R36" s="62">
        <v>46.341000000000001</v>
      </c>
      <c r="S36" s="62">
        <v>48.180999999999997</v>
      </c>
      <c r="T36" s="62">
        <v>52.225000000000001</v>
      </c>
      <c r="U36" s="62">
        <v>43.892000000000003</v>
      </c>
      <c r="V36" s="62">
        <v>45.337000000000003</v>
      </c>
      <c r="W36" s="62">
        <v>44.451999999999998</v>
      </c>
      <c r="X36" s="62">
        <v>40.850999999999999</v>
      </c>
      <c r="Y36" s="62">
        <v>46.213999999999999</v>
      </c>
      <c r="Z36" s="62">
        <v>51.031999999999996</v>
      </c>
      <c r="AA36" s="62">
        <v>48.497</v>
      </c>
      <c r="AB36" s="62">
        <v>53.962000000000003</v>
      </c>
      <c r="AC36" s="62">
        <v>57.509</v>
      </c>
      <c r="AD36" s="62">
        <v>55.945</v>
      </c>
      <c r="AE36" s="62">
        <v>55.945</v>
      </c>
      <c r="AF36" s="62">
        <v>59.764000000000003</v>
      </c>
      <c r="AG36" s="62">
        <v>62.774999999999999</v>
      </c>
      <c r="AH36" s="62">
        <v>62.042000000000002</v>
      </c>
      <c r="AI36" s="62">
        <v>57.648000000000003</v>
      </c>
      <c r="AJ36" s="62">
        <v>56.052999999999997</v>
      </c>
      <c r="AK36" s="62">
        <v>47.384</v>
      </c>
      <c r="AL36" s="62">
        <v>50.975999999999999</v>
      </c>
      <c r="AM36" s="62">
        <v>53.365000000000002</v>
      </c>
      <c r="AN36" s="62">
        <v>53.527000000000001</v>
      </c>
      <c r="AO36" s="62">
        <v>63.116999999999997</v>
      </c>
      <c r="AP36" s="62">
        <v>63.082999999999998</v>
      </c>
      <c r="AQ36" s="62">
        <v>60.6</v>
      </c>
      <c r="AR36" s="62">
        <v>61.296999999999997</v>
      </c>
      <c r="AS36" s="62">
        <v>59.170999999999999</v>
      </c>
      <c r="AT36" s="62">
        <v>55.978000000000002</v>
      </c>
      <c r="AU36" s="62">
        <v>57.311999999999998</v>
      </c>
      <c r="AV36" s="62">
        <v>53.475000000000001</v>
      </c>
      <c r="AW36" s="62">
        <v>51.192999999999998</v>
      </c>
      <c r="AX36" s="62">
        <v>48.625</v>
      </c>
      <c r="AY36" s="62">
        <v>49.509</v>
      </c>
      <c r="AZ36" s="62">
        <v>53.76</v>
      </c>
      <c r="BA36" s="62">
        <v>54.744999999999997</v>
      </c>
      <c r="BB36" s="62">
        <v>50.061</v>
      </c>
      <c r="BC36" s="62">
        <v>48.552</v>
      </c>
      <c r="BD36" s="62">
        <v>52.45</v>
      </c>
      <c r="BE36" s="62">
        <v>49.314999999999998</v>
      </c>
    </row>
    <row r="37" spans="1:57">
      <c r="A37" s="104" t="s">
        <v>222</v>
      </c>
      <c r="B37" s="104" t="s">
        <v>223</v>
      </c>
      <c r="C37" s="62">
        <v>22.348400000000002</v>
      </c>
      <c r="D37" s="62">
        <v>21.0181</v>
      </c>
      <c r="E37" s="62">
        <v>23.438400000000001</v>
      </c>
      <c r="F37" s="62">
        <v>24.116399999999999</v>
      </c>
      <c r="G37" s="62">
        <v>25.722899999999999</v>
      </c>
      <c r="H37" s="62">
        <v>27.520499999999998</v>
      </c>
      <c r="I37" s="62">
        <v>25.800999999999998</v>
      </c>
      <c r="J37" s="62">
        <v>24.828399999999998</v>
      </c>
      <c r="K37" s="62">
        <v>25.106300000000001</v>
      </c>
      <c r="L37" s="62">
        <v>27.633400000000002</v>
      </c>
      <c r="M37" s="62">
        <v>27.439</v>
      </c>
      <c r="N37" s="62">
        <v>24.470300000000002</v>
      </c>
      <c r="O37" s="62">
        <v>25.058800000000002</v>
      </c>
      <c r="P37" s="62">
        <v>23.486499999999999</v>
      </c>
      <c r="Q37" s="62">
        <v>20.7286</v>
      </c>
      <c r="R37" s="62">
        <v>17.3734</v>
      </c>
      <c r="S37" s="62">
        <v>18.068100000000001</v>
      </c>
      <c r="T37" s="62">
        <v>20.1266</v>
      </c>
      <c r="U37" s="62">
        <v>19.407499999999999</v>
      </c>
      <c r="V37" s="62">
        <v>21.295200000000001</v>
      </c>
      <c r="W37" s="62">
        <v>19.371500000000001</v>
      </c>
      <c r="X37" s="62">
        <v>19.128799999999998</v>
      </c>
      <c r="Y37" s="62">
        <v>21.038</v>
      </c>
      <c r="Z37" s="62">
        <v>22.7988</v>
      </c>
      <c r="AA37" s="62">
        <v>22.7896</v>
      </c>
      <c r="AB37" s="62">
        <v>26.247</v>
      </c>
      <c r="AC37" s="62">
        <v>26.678100000000001</v>
      </c>
      <c r="AD37" s="62">
        <v>28.338000000000001</v>
      </c>
      <c r="AE37" s="62">
        <v>29.1309</v>
      </c>
      <c r="AF37" s="62">
        <v>29.252500000000001</v>
      </c>
      <c r="AG37" s="62">
        <v>33.1509</v>
      </c>
      <c r="AH37" s="62">
        <v>32.543199999999999</v>
      </c>
      <c r="AI37" s="62">
        <v>33.057400000000001</v>
      </c>
      <c r="AJ37" s="62">
        <v>32.991999999999997</v>
      </c>
      <c r="AK37" s="62">
        <v>30.992699999999999</v>
      </c>
      <c r="AL37" s="62">
        <v>36.020099999999999</v>
      </c>
      <c r="AM37" s="62">
        <v>37.543599999999998</v>
      </c>
      <c r="AN37" s="62">
        <v>37.810200000000002</v>
      </c>
      <c r="AO37" s="62">
        <v>39.048000000000002</v>
      </c>
      <c r="AP37" s="62">
        <v>44.437199999999997</v>
      </c>
      <c r="AQ37" s="62">
        <v>41.504800000000003</v>
      </c>
      <c r="AR37" s="62">
        <v>42.192500000000003</v>
      </c>
      <c r="AS37" s="62">
        <v>44.904600000000002</v>
      </c>
      <c r="AT37" s="62">
        <v>43.451700000000002</v>
      </c>
      <c r="AU37" s="62">
        <v>47.442399999999999</v>
      </c>
      <c r="AV37" s="62">
        <v>51.471800000000002</v>
      </c>
      <c r="AW37" s="62">
        <v>51.395099999999999</v>
      </c>
      <c r="AX37" s="62">
        <v>51.277200000000001</v>
      </c>
      <c r="AY37" s="62">
        <v>48.781100000000002</v>
      </c>
      <c r="AZ37" s="62">
        <v>51.8078</v>
      </c>
      <c r="BA37" s="62">
        <v>51.100299999999997</v>
      </c>
      <c r="BB37" s="62">
        <v>45.056699999999999</v>
      </c>
      <c r="BC37" s="62">
        <v>47.24</v>
      </c>
      <c r="BD37" s="62">
        <v>47.72</v>
      </c>
      <c r="BE37" s="62">
        <v>44.18</v>
      </c>
    </row>
    <row r="38" spans="1:57">
      <c r="A38" s="104" t="s">
        <v>225</v>
      </c>
      <c r="B38" s="104" t="s">
        <v>226</v>
      </c>
      <c r="C38" s="62">
        <v>56.597700000000003</v>
      </c>
      <c r="D38" s="62">
        <v>49.926900000000003</v>
      </c>
      <c r="E38" s="62">
        <v>54.6402</v>
      </c>
      <c r="F38" s="62">
        <v>57.377000000000002</v>
      </c>
      <c r="G38" s="62">
        <v>53.88</v>
      </c>
      <c r="H38" s="62">
        <v>58.6693</v>
      </c>
      <c r="I38" s="62">
        <v>56.369700000000002</v>
      </c>
      <c r="J38" s="62">
        <v>52.492600000000003</v>
      </c>
      <c r="K38" s="62">
        <v>49.1477</v>
      </c>
      <c r="L38" s="62">
        <v>54.051000000000002</v>
      </c>
      <c r="M38" s="62">
        <v>54.963299999999997</v>
      </c>
      <c r="N38" s="62">
        <v>53.670900000000003</v>
      </c>
      <c r="O38" s="62">
        <v>56.6738</v>
      </c>
      <c r="P38" s="62">
        <v>57.529000000000003</v>
      </c>
      <c r="Q38" s="62">
        <v>56.958799999999997</v>
      </c>
      <c r="R38" s="62">
        <v>56.236600000000003</v>
      </c>
      <c r="S38" s="62">
        <v>57.396000000000001</v>
      </c>
      <c r="T38" s="62">
        <v>54.963299999999997</v>
      </c>
      <c r="U38" s="62">
        <v>50.515999999999998</v>
      </c>
      <c r="V38" s="62">
        <v>53.860999999999997</v>
      </c>
      <c r="W38" s="62">
        <v>50.002899999999997</v>
      </c>
      <c r="X38" s="62">
        <v>45.527200000000001</v>
      </c>
      <c r="Y38" s="62">
        <v>50.116900000000001</v>
      </c>
      <c r="Z38" s="62">
        <v>48.710500000000003</v>
      </c>
      <c r="AA38" s="62">
        <v>46.135300000000001</v>
      </c>
      <c r="AB38" s="62">
        <v>54.830199999999998</v>
      </c>
      <c r="AC38" s="62">
        <v>56.445700000000002</v>
      </c>
      <c r="AD38" s="62">
        <v>58.593299999999999</v>
      </c>
      <c r="AE38" s="62">
        <v>60.569800000000001</v>
      </c>
      <c r="AF38" s="62">
        <v>63.572699999999998</v>
      </c>
      <c r="AG38" s="62">
        <v>66.233400000000003</v>
      </c>
      <c r="AH38" s="62">
        <v>62.677700000000002</v>
      </c>
      <c r="AI38" s="62">
        <v>60.832599999999999</v>
      </c>
      <c r="AJ38" s="62">
        <v>55.047199999999997</v>
      </c>
      <c r="AK38" s="62">
        <v>51.722099999999998</v>
      </c>
      <c r="AL38" s="62">
        <v>60.371299999999998</v>
      </c>
      <c r="AM38" s="62">
        <v>62.350999999999999</v>
      </c>
      <c r="AN38" s="62">
        <v>62.9574</v>
      </c>
      <c r="AO38" s="62">
        <v>52.622500000000002</v>
      </c>
      <c r="AP38" s="62">
        <v>57.518999999999998</v>
      </c>
      <c r="AQ38" s="62">
        <v>57.828600000000002</v>
      </c>
      <c r="AR38" s="62">
        <v>63.228299999999997</v>
      </c>
      <c r="AS38" s="62">
        <v>60.131700000000002</v>
      </c>
      <c r="AT38" s="62">
        <v>59.538800000000002</v>
      </c>
      <c r="AU38" s="62">
        <v>59.734900000000003</v>
      </c>
      <c r="AV38" s="62">
        <v>63.636200000000002</v>
      </c>
      <c r="AW38" s="62">
        <v>65.282899999999998</v>
      </c>
      <c r="AX38" s="62">
        <v>65.106499999999997</v>
      </c>
      <c r="AY38" s="62">
        <v>66.851299999999995</v>
      </c>
      <c r="AZ38" s="62">
        <v>70.117500000000007</v>
      </c>
      <c r="BA38" s="62">
        <v>71.816100000000006</v>
      </c>
      <c r="BB38" s="62">
        <v>69.623699999999999</v>
      </c>
      <c r="BC38" s="62">
        <v>68.320099999999996</v>
      </c>
      <c r="BD38" s="62">
        <v>72.4679</v>
      </c>
      <c r="BE38" s="62">
        <v>70.591499999999996</v>
      </c>
    </row>
    <row r="39" spans="1:57">
      <c r="A39" s="104" t="s">
        <v>40</v>
      </c>
      <c r="B39" s="104" t="s">
        <v>41</v>
      </c>
      <c r="C39" s="62">
        <v>381.596</v>
      </c>
      <c r="D39" s="62">
        <v>421.81400000000002</v>
      </c>
      <c r="E39" s="62">
        <v>446.67500000000001</v>
      </c>
      <c r="F39" s="62">
        <v>496.25200000000001</v>
      </c>
      <c r="G39" s="62">
        <v>519.48099999999999</v>
      </c>
      <c r="H39" s="62">
        <v>526.74800000000005</v>
      </c>
      <c r="I39" s="62">
        <v>557.745</v>
      </c>
      <c r="J39" s="62">
        <v>615.11699999999996</v>
      </c>
      <c r="K39" s="62">
        <v>678.16899999999998</v>
      </c>
      <c r="L39" s="62">
        <v>621.75900000000001</v>
      </c>
      <c r="M39" s="62">
        <v>674.31899999999996</v>
      </c>
      <c r="N39" s="62">
        <v>675.197</v>
      </c>
      <c r="O39" s="62">
        <v>682.05</v>
      </c>
      <c r="P39" s="62">
        <v>573.47400000000005</v>
      </c>
      <c r="Q39" s="62">
        <v>578.01</v>
      </c>
      <c r="R39" s="62">
        <v>588.72299999999996</v>
      </c>
      <c r="S39" s="62">
        <v>528.88499999999999</v>
      </c>
      <c r="T39" s="62">
        <v>520.90099999999995</v>
      </c>
      <c r="U39" s="62">
        <v>443.00900000000001</v>
      </c>
      <c r="V39" s="62">
        <v>539.755</v>
      </c>
      <c r="W39" s="62">
        <v>472.13099999999997</v>
      </c>
      <c r="X39" s="62">
        <v>422.4</v>
      </c>
      <c r="Y39" s="62">
        <v>465.65300000000002</v>
      </c>
      <c r="Z39" s="62">
        <v>548.19600000000003</v>
      </c>
      <c r="AA39" s="62">
        <v>492.214</v>
      </c>
      <c r="AB39" s="62">
        <v>588.74199999999996</v>
      </c>
      <c r="AC39" s="62">
        <v>571.79399999999998</v>
      </c>
      <c r="AD39" s="62">
        <v>612.13300000000004</v>
      </c>
      <c r="AE39" s="62">
        <v>563.20100000000002</v>
      </c>
      <c r="AF39" s="62">
        <v>659.44100000000003</v>
      </c>
      <c r="AG39" s="62">
        <v>651.09299999999996</v>
      </c>
      <c r="AH39" s="62">
        <v>640.48699999999997</v>
      </c>
      <c r="AI39" s="62">
        <v>598.31299999999999</v>
      </c>
      <c r="AJ39" s="62">
        <v>550.28200000000004</v>
      </c>
      <c r="AK39" s="62">
        <v>556.38499999999999</v>
      </c>
      <c r="AL39" s="62">
        <v>614.75199999999995</v>
      </c>
      <c r="AM39" s="62">
        <v>672.67399999999998</v>
      </c>
      <c r="AN39" s="62">
        <v>787.63199999999995</v>
      </c>
      <c r="AO39" s="62">
        <v>860.49900000000002</v>
      </c>
      <c r="AP39" s="62">
        <v>881.94899999999996</v>
      </c>
      <c r="AQ39" s="62">
        <v>824.86400000000003</v>
      </c>
      <c r="AR39" s="62">
        <v>862.60599999999999</v>
      </c>
      <c r="AS39" s="62">
        <v>955.12699999999995</v>
      </c>
      <c r="AT39" s="62">
        <v>844.06</v>
      </c>
      <c r="AU39" s="62">
        <v>805.851</v>
      </c>
      <c r="AV39" s="62">
        <v>739.95399999999995</v>
      </c>
      <c r="AW39" s="62">
        <v>617.92899999999997</v>
      </c>
      <c r="AX39" s="62">
        <v>654.93299999999999</v>
      </c>
      <c r="AY39" s="62">
        <v>675.12599999999998</v>
      </c>
      <c r="AZ39" s="62">
        <v>718.89499999999998</v>
      </c>
      <c r="BA39" s="62">
        <v>676.49</v>
      </c>
      <c r="BB39" s="62">
        <v>604.11500000000001</v>
      </c>
      <c r="BC39" s="62">
        <v>582.5</v>
      </c>
      <c r="BD39" s="62">
        <v>653.9</v>
      </c>
      <c r="BE39" s="62">
        <v>677.6</v>
      </c>
    </row>
    <row r="40" spans="1:57">
      <c r="A40" s="104" t="s">
        <v>233</v>
      </c>
      <c r="B40" s="104" t="s">
        <v>234</v>
      </c>
      <c r="C40" s="62">
        <v>30.056000000000001</v>
      </c>
      <c r="D40" s="62">
        <v>31.698</v>
      </c>
      <c r="E40" s="62">
        <v>34.69</v>
      </c>
      <c r="F40" s="62">
        <v>34.96</v>
      </c>
      <c r="G40" s="62">
        <v>32.228000000000002</v>
      </c>
      <c r="H40" s="62">
        <v>32.137</v>
      </c>
      <c r="I40" s="62">
        <v>32.802</v>
      </c>
      <c r="J40" s="62">
        <v>31.038</v>
      </c>
      <c r="K40" s="62">
        <v>34.853999999999999</v>
      </c>
      <c r="L40" s="62">
        <v>34.319000000000003</v>
      </c>
      <c r="M40" s="62">
        <v>38.892000000000003</v>
      </c>
      <c r="N40" s="62">
        <v>38.627000000000002</v>
      </c>
      <c r="O40" s="62">
        <v>39.277000000000001</v>
      </c>
      <c r="P40" s="62">
        <v>35.229999999999997</v>
      </c>
      <c r="Q40" s="62">
        <v>29.318999999999999</v>
      </c>
      <c r="R40" s="62">
        <v>29.838999999999999</v>
      </c>
      <c r="S40" s="62">
        <v>26.341000000000001</v>
      </c>
      <c r="T40" s="62">
        <v>28.148</v>
      </c>
      <c r="U40" s="62">
        <v>22.439</v>
      </c>
      <c r="V40" s="62">
        <v>25.844999999999999</v>
      </c>
      <c r="W40" s="62">
        <v>23.62</v>
      </c>
      <c r="X40" s="62">
        <v>21.725000000000001</v>
      </c>
      <c r="Y40" s="62">
        <v>23.96</v>
      </c>
      <c r="Z40" s="62">
        <v>31.253</v>
      </c>
      <c r="AA40" s="62">
        <v>27.628</v>
      </c>
      <c r="AB40" s="62">
        <v>32.079000000000001</v>
      </c>
      <c r="AC40" s="62">
        <v>32.792999999999999</v>
      </c>
      <c r="AD40" s="62">
        <v>36.920999999999999</v>
      </c>
      <c r="AE40" s="62">
        <v>32.283000000000001</v>
      </c>
      <c r="AF40" s="62">
        <v>34.101999999999997</v>
      </c>
      <c r="AG40" s="62">
        <v>36.99</v>
      </c>
      <c r="AH40" s="62">
        <v>39.137</v>
      </c>
      <c r="AI40" s="62">
        <v>32.372</v>
      </c>
      <c r="AJ40" s="62">
        <v>30.704999999999998</v>
      </c>
      <c r="AK40" s="62">
        <v>27.056999999999999</v>
      </c>
      <c r="AL40" s="62">
        <v>34.954999999999998</v>
      </c>
      <c r="AM40" s="62">
        <v>37.063000000000002</v>
      </c>
      <c r="AN40" s="62">
        <v>32.915999999999997</v>
      </c>
      <c r="AO40" s="62">
        <v>32.905000000000001</v>
      </c>
      <c r="AP40" s="62">
        <v>31.120999999999999</v>
      </c>
      <c r="AQ40" s="62">
        <v>32.235999999999997</v>
      </c>
      <c r="AR40" s="62">
        <v>36.600999999999999</v>
      </c>
      <c r="AS40" s="62">
        <v>33.890999999999998</v>
      </c>
      <c r="AT40" s="62">
        <v>31.893999999999998</v>
      </c>
      <c r="AU40" s="62">
        <v>32.682000000000002</v>
      </c>
      <c r="AV40" s="62">
        <v>31.190999999999999</v>
      </c>
      <c r="AW40" s="62">
        <v>28.867000000000001</v>
      </c>
      <c r="AX40" s="62">
        <v>30.373000000000001</v>
      </c>
      <c r="AY40" s="62">
        <v>31.116</v>
      </c>
      <c r="AZ40" s="62">
        <v>31.225000000000001</v>
      </c>
      <c r="BA40" s="62">
        <v>35.164999999999999</v>
      </c>
      <c r="BB40" s="62">
        <v>30.71</v>
      </c>
      <c r="BC40" s="62">
        <v>29</v>
      </c>
      <c r="BD40" s="62">
        <v>34.244999999999997</v>
      </c>
      <c r="BE40" s="62">
        <v>36.11</v>
      </c>
    </row>
    <row r="41" spans="1:57">
      <c r="A41" s="104" t="s">
        <v>28</v>
      </c>
      <c r="B41" s="104" t="s">
        <v>29</v>
      </c>
      <c r="C41" s="62">
        <v>98.722999999999999</v>
      </c>
      <c r="D41" s="62">
        <v>96.475999999999999</v>
      </c>
      <c r="E41" s="62">
        <v>94.284999999999997</v>
      </c>
      <c r="F41" s="62">
        <v>96.052999999999997</v>
      </c>
      <c r="G41" s="62">
        <v>106.991</v>
      </c>
      <c r="H41" s="62">
        <v>106.82</v>
      </c>
      <c r="I41" s="62">
        <v>111.014</v>
      </c>
      <c r="J41" s="62">
        <v>112.83</v>
      </c>
      <c r="K41" s="62">
        <v>118.65300000000001</v>
      </c>
      <c r="L41" s="62">
        <v>109.422</v>
      </c>
      <c r="M41" s="62">
        <v>116.837</v>
      </c>
      <c r="N41" s="62">
        <v>106.09</v>
      </c>
      <c r="O41" s="62">
        <v>116.931</v>
      </c>
      <c r="P41" s="62">
        <v>103.88</v>
      </c>
      <c r="Q41" s="62">
        <v>93.974999999999994</v>
      </c>
      <c r="R41" s="62">
        <v>94.180999999999997</v>
      </c>
      <c r="S41" s="62">
        <v>89.855999999999995</v>
      </c>
      <c r="T41" s="62">
        <v>89.543000000000006</v>
      </c>
      <c r="U41" s="62">
        <v>83.028999999999996</v>
      </c>
      <c r="V41" s="62">
        <v>87.406999999999996</v>
      </c>
      <c r="W41" s="62">
        <v>81.739000000000004</v>
      </c>
      <c r="X41" s="62">
        <v>79.738</v>
      </c>
      <c r="Y41" s="62">
        <v>93.363</v>
      </c>
      <c r="Z41" s="62">
        <v>101.801</v>
      </c>
      <c r="AA41" s="62">
        <v>92.747</v>
      </c>
      <c r="AB41" s="62">
        <v>104.438</v>
      </c>
      <c r="AC41" s="62">
        <v>103.36</v>
      </c>
      <c r="AD41" s="62">
        <v>111.77</v>
      </c>
      <c r="AE41" s="62">
        <v>118.005</v>
      </c>
      <c r="AF41" s="62">
        <v>119.21599999999999</v>
      </c>
      <c r="AG41" s="62">
        <v>122.562</v>
      </c>
      <c r="AH41" s="62">
        <v>121.29</v>
      </c>
      <c r="AI41" s="62">
        <v>126.00700000000001</v>
      </c>
      <c r="AJ41" s="62">
        <v>119.45</v>
      </c>
      <c r="AK41" s="62">
        <v>123.854</v>
      </c>
      <c r="AL41" s="62">
        <v>142.87899999999999</v>
      </c>
      <c r="AM41" s="62">
        <v>136.49799999999999</v>
      </c>
      <c r="AN41" s="62">
        <v>156.57900000000001</v>
      </c>
      <c r="AO41" s="62">
        <v>169.71199999999999</v>
      </c>
      <c r="AP41" s="62">
        <v>176.7</v>
      </c>
      <c r="AQ41" s="62">
        <v>166.09100000000001</v>
      </c>
      <c r="AR41" s="62">
        <v>166.48599999999999</v>
      </c>
      <c r="AS41" s="62">
        <v>187.07900000000001</v>
      </c>
      <c r="AT41" s="62">
        <v>193.16399999999999</v>
      </c>
      <c r="AU41" s="62">
        <v>196.434</v>
      </c>
      <c r="AV41" s="62">
        <v>204.14400000000001</v>
      </c>
      <c r="AW41" s="62">
        <v>212.667</v>
      </c>
      <c r="AX41" s="62">
        <v>222.52699999999999</v>
      </c>
      <c r="AY41" s="62">
        <v>234.17099999999999</v>
      </c>
      <c r="AZ41" s="62">
        <v>264.34699999999998</v>
      </c>
      <c r="BA41" s="62">
        <v>262.76100000000002</v>
      </c>
      <c r="BB41" s="62">
        <v>245.41900000000001</v>
      </c>
      <c r="BC41" s="62">
        <v>255.72499999999999</v>
      </c>
      <c r="BD41" s="62">
        <v>266.55</v>
      </c>
      <c r="BE41" s="62">
        <v>257.95</v>
      </c>
    </row>
    <row r="42" spans="1:57">
      <c r="A42" s="104" t="s">
        <v>238</v>
      </c>
      <c r="B42" s="104" t="s">
        <v>239</v>
      </c>
      <c r="C42" s="62">
        <v>37.5</v>
      </c>
      <c r="D42" s="62">
        <v>41.08</v>
      </c>
      <c r="E42" s="62">
        <v>44.42</v>
      </c>
      <c r="F42" s="62">
        <v>50.32</v>
      </c>
      <c r="G42" s="62">
        <v>52.5</v>
      </c>
      <c r="H42" s="62">
        <v>54.82</v>
      </c>
      <c r="I42" s="62">
        <v>55.54</v>
      </c>
      <c r="J42" s="62">
        <v>60.25</v>
      </c>
      <c r="K42" s="62">
        <v>61.39</v>
      </c>
      <c r="L42" s="62">
        <v>58.24</v>
      </c>
      <c r="M42" s="62">
        <v>59.56</v>
      </c>
      <c r="N42" s="62">
        <v>56.18</v>
      </c>
      <c r="O42" s="62">
        <v>61.87</v>
      </c>
      <c r="P42" s="62">
        <v>59.65</v>
      </c>
      <c r="Q42" s="62">
        <v>55.95</v>
      </c>
      <c r="R42" s="62">
        <v>54.27</v>
      </c>
      <c r="S42" s="62">
        <v>56.33</v>
      </c>
      <c r="T42" s="62">
        <v>55.1</v>
      </c>
      <c r="U42" s="62">
        <v>40.945</v>
      </c>
      <c r="V42" s="62">
        <v>45.325000000000003</v>
      </c>
      <c r="W42" s="62">
        <v>40.35</v>
      </c>
      <c r="X42" s="62">
        <v>37.049999999999997</v>
      </c>
      <c r="Y42" s="62">
        <v>41.4</v>
      </c>
      <c r="Z42" s="62">
        <v>43.744999999999997</v>
      </c>
      <c r="AA42" s="62">
        <v>45.65</v>
      </c>
      <c r="AB42" s="62">
        <v>52.55</v>
      </c>
      <c r="AC42" s="62">
        <v>56.33</v>
      </c>
      <c r="AD42" s="62">
        <v>52.32</v>
      </c>
      <c r="AE42" s="62">
        <v>52.42</v>
      </c>
      <c r="AF42" s="62">
        <v>51.8</v>
      </c>
      <c r="AG42" s="62">
        <v>55.73</v>
      </c>
      <c r="AH42" s="62">
        <v>61.48</v>
      </c>
      <c r="AI42" s="62">
        <v>60.16</v>
      </c>
      <c r="AJ42" s="62">
        <v>56.88</v>
      </c>
      <c r="AK42" s="62">
        <v>51.4</v>
      </c>
      <c r="AL42" s="62">
        <v>59.81</v>
      </c>
      <c r="AM42" s="62">
        <v>66.66</v>
      </c>
      <c r="AN42" s="62">
        <v>65.84</v>
      </c>
      <c r="AO42" s="62">
        <v>71.2</v>
      </c>
      <c r="AP42" s="62">
        <v>71.930000000000007</v>
      </c>
      <c r="AQ42" s="62">
        <v>74.66</v>
      </c>
      <c r="AR42" s="62">
        <v>80.58</v>
      </c>
      <c r="AS42" s="62">
        <v>72.62</v>
      </c>
      <c r="AT42" s="62">
        <v>79.44</v>
      </c>
      <c r="AU42" s="62">
        <v>79.08</v>
      </c>
      <c r="AV42" s="62">
        <v>81.72</v>
      </c>
      <c r="AW42" s="62">
        <v>82.98</v>
      </c>
      <c r="AX42" s="62">
        <v>86.34</v>
      </c>
      <c r="AY42" s="62">
        <v>85.7</v>
      </c>
      <c r="AZ42" s="62">
        <v>90.58</v>
      </c>
      <c r="BA42" s="62">
        <v>96.72</v>
      </c>
      <c r="BB42" s="62">
        <v>91.7</v>
      </c>
      <c r="BC42" s="62">
        <v>95.5</v>
      </c>
      <c r="BD42" s="62">
        <v>98.84</v>
      </c>
      <c r="BE42" s="62">
        <v>99.64</v>
      </c>
    </row>
    <row r="43" spans="1:57">
      <c r="A43" s="104" t="s">
        <v>244</v>
      </c>
      <c r="B43" s="104" t="s">
        <v>245</v>
      </c>
      <c r="C43" s="62">
        <v>64.72</v>
      </c>
      <c r="D43" s="62">
        <v>63.83</v>
      </c>
      <c r="E43" s="62">
        <v>67.73</v>
      </c>
      <c r="F43" s="62">
        <v>70.84</v>
      </c>
      <c r="G43" s="62">
        <v>67.08</v>
      </c>
      <c r="H43" s="62">
        <v>66.66</v>
      </c>
      <c r="I43" s="62">
        <v>66.44</v>
      </c>
      <c r="J43" s="62">
        <v>66.22</v>
      </c>
      <c r="K43" s="62">
        <v>65.52</v>
      </c>
      <c r="L43" s="62">
        <v>65.849999999999994</v>
      </c>
      <c r="M43" s="62">
        <v>62.28</v>
      </c>
      <c r="N43" s="62">
        <v>57.88</v>
      </c>
      <c r="O43" s="62">
        <v>61.78</v>
      </c>
      <c r="P43" s="62">
        <v>67.52</v>
      </c>
      <c r="Q43" s="62">
        <v>59.25</v>
      </c>
      <c r="R43" s="62">
        <v>51.76</v>
      </c>
      <c r="S43" s="62">
        <v>50.41</v>
      </c>
      <c r="T43" s="62">
        <v>51.29</v>
      </c>
      <c r="U43" s="62">
        <v>41.524999999999999</v>
      </c>
      <c r="V43" s="62">
        <v>43.414999999999999</v>
      </c>
      <c r="W43" s="62">
        <v>42.07</v>
      </c>
      <c r="X43" s="62">
        <v>39.6</v>
      </c>
      <c r="Y43" s="62">
        <v>45.435000000000002</v>
      </c>
      <c r="Z43" s="62">
        <v>48.515000000000001</v>
      </c>
      <c r="AA43" s="62">
        <v>46.39</v>
      </c>
      <c r="AB43" s="62">
        <v>52.4</v>
      </c>
      <c r="AC43" s="62">
        <v>48.475000000000001</v>
      </c>
      <c r="AD43" s="62">
        <v>48.36</v>
      </c>
      <c r="AE43" s="62">
        <v>46.85</v>
      </c>
      <c r="AF43" s="62">
        <v>44.414999999999999</v>
      </c>
      <c r="AG43" s="62">
        <v>44.47</v>
      </c>
      <c r="AH43" s="62">
        <v>48.77</v>
      </c>
      <c r="AI43" s="62">
        <v>46.79</v>
      </c>
      <c r="AJ43" s="62">
        <v>42.95</v>
      </c>
      <c r="AK43" s="62">
        <v>43.534999999999997</v>
      </c>
      <c r="AL43" s="62">
        <v>42.685000000000002</v>
      </c>
      <c r="AM43" s="62">
        <v>48.78</v>
      </c>
      <c r="AN43" s="62">
        <v>44.46</v>
      </c>
      <c r="AO43" s="62">
        <v>47.075000000000003</v>
      </c>
      <c r="AP43" s="62">
        <v>52.93</v>
      </c>
      <c r="AQ43" s="62">
        <v>49.155000000000001</v>
      </c>
      <c r="AR43" s="62">
        <v>48.41</v>
      </c>
      <c r="AS43" s="62">
        <v>45.185000000000002</v>
      </c>
      <c r="AT43" s="62">
        <v>43.1</v>
      </c>
      <c r="AU43" s="62">
        <v>45.85</v>
      </c>
      <c r="AV43" s="62">
        <v>47.555</v>
      </c>
      <c r="AW43" s="62">
        <v>44.645000000000003</v>
      </c>
      <c r="AX43" s="62">
        <v>42.42</v>
      </c>
      <c r="AY43" s="62">
        <v>42.46</v>
      </c>
      <c r="AZ43" s="62">
        <v>46.61</v>
      </c>
      <c r="BA43" s="62">
        <v>49.21</v>
      </c>
      <c r="BB43" s="62">
        <v>45.895000000000003</v>
      </c>
      <c r="BC43" s="62">
        <v>44.63</v>
      </c>
      <c r="BD43" s="62">
        <v>42.4</v>
      </c>
      <c r="BE43" s="62">
        <v>41.86</v>
      </c>
    </row>
    <row r="44" spans="1:57">
      <c r="A44" s="104" t="s">
        <v>247</v>
      </c>
      <c r="B44" s="104" t="s">
        <v>248</v>
      </c>
      <c r="C44" s="62">
        <v>38.133569999999999</v>
      </c>
      <c r="D44" s="62">
        <v>35.35</v>
      </c>
      <c r="E44" s="62">
        <v>30.598299999999998</v>
      </c>
      <c r="F44" s="62">
        <v>34.499859999999998</v>
      </c>
      <c r="G44" s="62">
        <v>34.449210000000001</v>
      </c>
      <c r="H44" s="62">
        <v>31.59036</v>
      </c>
      <c r="I44" s="62">
        <v>32.659329999999997</v>
      </c>
      <c r="J44" s="62">
        <v>30.835619999999999</v>
      </c>
      <c r="K44" s="62">
        <v>33.925809999999998</v>
      </c>
      <c r="L44" s="62">
        <v>34.352519999999998</v>
      </c>
      <c r="M44" s="62">
        <v>37.11544</v>
      </c>
      <c r="N44" s="62">
        <v>29.350770000000001</v>
      </c>
      <c r="O44" s="62">
        <v>26.68364</v>
      </c>
      <c r="P44" s="62">
        <v>23.593170000000001</v>
      </c>
      <c r="Q44" s="62">
        <v>29.014150000000001</v>
      </c>
      <c r="R44" s="62">
        <v>26.64264</v>
      </c>
      <c r="S44" s="62">
        <v>24.426860000000001</v>
      </c>
      <c r="T44" s="62">
        <v>23.650670000000002</v>
      </c>
      <c r="U44" s="62">
        <v>20.029199999999999</v>
      </c>
      <c r="V44" s="62">
        <v>25.299399999999999</v>
      </c>
      <c r="W44" s="62">
        <v>24.907340000000001</v>
      </c>
      <c r="X44" s="62">
        <v>18.9284</v>
      </c>
      <c r="Y44" s="62">
        <v>19.808219999999999</v>
      </c>
      <c r="Z44" s="62">
        <v>23.9801</v>
      </c>
      <c r="AA44" s="62">
        <v>27.009340000000002</v>
      </c>
      <c r="AB44" s="62">
        <v>26.555540000000001</v>
      </c>
      <c r="AC44" s="62">
        <v>26.78302</v>
      </c>
      <c r="AD44" s="62">
        <v>26.551490000000001</v>
      </c>
      <c r="AE44" s="62">
        <v>24.858319999999999</v>
      </c>
      <c r="AF44" s="62">
        <v>26.46913</v>
      </c>
      <c r="AG44" s="62">
        <v>24.22026</v>
      </c>
      <c r="AH44" s="62">
        <v>24.222650000000002</v>
      </c>
      <c r="AI44" s="62">
        <v>21.199090000000002</v>
      </c>
      <c r="AJ44" s="62">
        <v>20.196079999999998</v>
      </c>
      <c r="AK44" s="62">
        <v>20.272400000000001</v>
      </c>
      <c r="AL44" s="62">
        <v>25.264579999999999</v>
      </c>
      <c r="AM44" s="62">
        <v>28.570900000000002</v>
      </c>
      <c r="AN44" s="62">
        <v>26.21904</v>
      </c>
      <c r="AO44" s="62">
        <v>25.590900000000001</v>
      </c>
      <c r="AP44" s="62">
        <v>25.718710000000002</v>
      </c>
      <c r="AQ44" s="62">
        <v>25.10453</v>
      </c>
      <c r="AR44" s="62">
        <v>25.69575</v>
      </c>
      <c r="AS44" s="62">
        <v>21.489190000000001</v>
      </c>
      <c r="AT44" s="62">
        <v>22.67454</v>
      </c>
      <c r="AU44" s="62">
        <v>20.636389999999999</v>
      </c>
      <c r="AV44" s="62">
        <v>19.712350000000001</v>
      </c>
      <c r="AW44" s="62">
        <v>17.19932</v>
      </c>
      <c r="AX44" s="62">
        <v>14.61777</v>
      </c>
      <c r="AY44" s="62">
        <v>13.07019</v>
      </c>
      <c r="AZ44" s="62">
        <v>13.176679999999999</v>
      </c>
      <c r="BA44" s="62">
        <v>13.5121</v>
      </c>
      <c r="BB44" s="62">
        <v>12.643789999999999</v>
      </c>
      <c r="BC44" s="62">
        <v>11.689780000000001</v>
      </c>
      <c r="BD44" s="62">
        <v>13.90016</v>
      </c>
      <c r="BE44" s="62">
        <v>12.7361</v>
      </c>
    </row>
    <row r="45" spans="1:57">
      <c r="A45" s="104" t="s">
        <v>176</v>
      </c>
      <c r="B45" s="104" t="s">
        <v>177</v>
      </c>
      <c r="C45" s="62">
        <v>9.4366000000000003</v>
      </c>
      <c r="D45" s="62">
        <v>9.1449999999999996</v>
      </c>
      <c r="E45" s="62">
        <v>8.5236000000000001</v>
      </c>
      <c r="F45" s="62">
        <v>8.9815000000000005</v>
      </c>
      <c r="G45" s="62">
        <v>9.1859000000000002</v>
      </c>
      <c r="H45" s="62">
        <v>8.9895999999999994</v>
      </c>
      <c r="I45" s="62">
        <v>8.4049999999999994</v>
      </c>
      <c r="J45" s="62">
        <v>8.5092999999999996</v>
      </c>
      <c r="K45" s="62">
        <v>8.7898999999999994</v>
      </c>
      <c r="L45" s="62">
        <v>7.2731000000000003</v>
      </c>
      <c r="M45" s="62">
        <v>8.5554000000000006</v>
      </c>
      <c r="N45" s="62">
        <v>8.2949000000000002</v>
      </c>
      <c r="O45" s="62">
        <v>8.7187000000000001</v>
      </c>
      <c r="P45" s="62">
        <v>8.6526999999999994</v>
      </c>
      <c r="Q45" s="62">
        <v>8.6698000000000004</v>
      </c>
      <c r="R45" s="62">
        <v>8.4482999999999997</v>
      </c>
      <c r="S45" s="62">
        <v>9.3765999999999998</v>
      </c>
      <c r="T45" s="62">
        <v>9.3978999999999999</v>
      </c>
      <c r="U45" s="62">
        <v>8.4318000000000008</v>
      </c>
      <c r="V45" s="62">
        <v>9.1286000000000005</v>
      </c>
      <c r="W45" s="62">
        <v>9.0891999999999999</v>
      </c>
      <c r="X45" s="62">
        <v>8.3864000000000001</v>
      </c>
      <c r="Y45" s="62">
        <v>8.9929000000000006</v>
      </c>
      <c r="Z45" s="62">
        <v>9.4349000000000007</v>
      </c>
      <c r="AA45" s="62">
        <v>9.5662000000000003</v>
      </c>
      <c r="AB45" s="62">
        <v>9.56</v>
      </c>
      <c r="AC45" s="62">
        <v>9.6667000000000005</v>
      </c>
      <c r="AD45" s="62">
        <v>10.218299999999999</v>
      </c>
      <c r="AE45" s="62">
        <v>10.485300000000001</v>
      </c>
      <c r="AF45" s="62">
        <v>10.1471</v>
      </c>
      <c r="AG45" s="62">
        <v>10.6366</v>
      </c>
      <c r="AH45" s="62">
        <v>10.3879</v>
      </c>
      <c r="AI45" s="62">
        <v>10.0266</v>
      </c>
      <c r="AJ45" s="62">
        <v>9.6926000000000005</v>
      </c>
      <c r="AK45" s="62">
        <v>9.6057000000000006</v>
      </c>
      <c r="AL45" s="62">
        <v>10.3788</v>
      </c>
      <c r="AM45" s="62">
        <v>10.8591</v>
      </c>
      <c r="AN45" s="62">
        <v>10.398400000000001</v>
      </c>
      <c r="AO45" s="62">
        <v>9.8818999999999999</v>
      </c>
      <c r="AP45" s="62">
        <v>10.696099999999999</v>
      </c>
      <c r="AQ45" s="62">
        <v>10.710100000000001</v>
      </c>
      <c r="AR45" s="62">
        <v>11.2638</v>
      </c>
      <c r="AS45" s="62">
        <v>11.277699999999999</v>
      </c>
      <c r="AT45" s="62">
        <v>11.671900000000001</v>
      </c>
      <c r="AU45" s="62">
        <v>12.2852</v>
      </c>
      <c r="AV45" s="62">
        <v>13.310499999999999</v>
      </c>
      <c r="AW45" s="62">
        <v>13.075799999999999</v>
      </c>
      <c r="AX45" s="62">
        <v>12.927199999999999</v>
      </c>
      <c r="AY45" s="62">
        <v>12.745100000000001</v>
      </c>
      <c r="AZ45" s="62">
        <v>13.294499999999999</v>
      </c>
      <c r="BA45" s="62">
        <v>13.5966</v>
      </c>
      <c r="BB45" s="62">
        <v>14.561500000000001</v>
      </c>
      <c r="BC45" s="62">
        <v>15.4923</v>
      </c>
      <c r="BD45" s="62">
        <v>15.6775</v>
      </c>
      <c r="BE45" s="62">
        <v>15.882199999999999</v>
      </c>
    </row>
    <row r="46" spans="1:57">
      <c r="A46" s="104" t="s">
        <v>257</v>
      </c>
      <c r="B46" s="104" t="s">
        <v>258</v>
      </c>
      <c r="C46" s="62">
        <v>6.2954999999999997</v>
      </c>
      <c r="D46" s="62">
        <v>6.3563999999999998</v>
      </c>
      <c r="E46" s="62">
        <v>6.0871000000000004</v>
      </c>
      <c r="F46" s="62">
        <v>6.5907999999999998</v>
      </c>
      <c r="G46" s="62">
        <v>6.4154</v>
      </c>
      <c r="H46" s="62">
        <v>6.2516999999999996</v>
      </c>
      <c r="I46" s="62">
        <v>6.0777999999999999</v>
      </c>
      <c r="J46" s="62">
        <v>6.1786000000000003</v>
      </c>
      <c r="K46" s="62">
        <v>6.1285999999999996</v>
      </c>
      <c r="L46" s="62">
        <v>5.282</v>
      </c>
      <c r="M46" s="62">
        <v>5.7465999999999999</v>
      </c>
      <c r="N46" s="62">
        <v>5.3265000000000002</v>
      </c>
      <c r="O46" s="62">
        <v>5.5956999999999999</v>
      </c>
      <c r="P46" s="62">
        <v>5.5376000000000003</v>
      </c>
      <c r="Q46" s="62">
        <v>5.3890000000000002</v>
      </c>
      <c r="R46" s="62">
        <v>4.9554</v>
      </c>
      <c r="S46" s="62">
        <v>5.0778999999999996</v>
      </c>
      <c r="T46" s="62">
        <v>4.9358000000000004</v>
      </c>
      <c r="U46" s="62">
        <v>4.2629000000000001</v>
      </c>
      <c r="V46" s="62">
        <v>4.1672000000000002</v>
      </c>
      <c r="W46" s="62">
        <v>3.9860000000000002</v>
      </c>
      <c r="X46" s="62">
        <v>3.5857000000000001</v>
      </c>
      <c r="Y46" s="62">
        <v>3.8361999999999998</v>
      </c>
      <c r="Z46" s="62">
        <v>4.3582000000000001</v>
      </c>
      <c r="AA46" s="62">
        <v>4.2699999999999996</v>
      </c>
      <c r="AB46" s="62">
        <v>4.7443999999999997</v>
      </c>
      <c r="AC46" s="62">
        <v>4.6791999999999998</v>
      </c>
      <c r="AD46" s="62">
        <v>4.952</v>
      </c>
      <c r="AE46" s="62">
        <v>5.4554</v>
      </c>
      <c r="AF46" s="62">
        <v>5.1553000000000004</v>
      </c>
      <c r="AG46" s="62">
        <v>5.4282000000000004</v>
      </c>
      <c r="AH46" s="62">
        <v>5.6996000000000002</v>
      </c>
      <c r="AI46" s="62">
        <v>5.6432000000000002</v>
      </c>
      <c r="AJ46" s="62">
        <v>5.2888000000000002</v>
      </c>
      <c r="AK46" s="62">
        <v>5.4414999999999996</v>
      </c>
      <c r="AL46" s="62">
        <v>5.8940999999999999</v>
      </c>
      <c r="AM46" s="62">
        <v>6.1158000000000001</v>
      </c>
      <c r="AN46" s="62">
        <v>5.9545000000000003</v>
      </c>
      <c r="AO46" s="62">
        <v>5.5244</v>
      </c>
      <c r="AP46" s="62">
        <v>5.7460000000000004</v>
      </c>
      <c r="AQ46" s="62">
        <v>5.8041999999999998</v>
      </c>
      <c r="AR46" s="62">
        <v>6.2503000000000002</v>
      </c>
      <c r="AS46" s="62">
        <v>6.0980999999999996</v>
      </c>
      <c r="AT46" s="62">
        <v>6.3959000000000001</v>
      </c>
      <c r="AU46" s="62">
        <v>6.6577999999999999</v>
      </c>
      <c r="AV46" s="62">
        <v>6.9593999999999996</v>
      </c>
      <c r="AW46" s="62">
        <v>6.7606000000000002</v>
      </c>
      <c r="AX46" s="62">
        <v>6.6054000000000004</v>
      </c>
      <c r="AY46" s="62">
        <v>6.6791</v>
      </c>
      <c r="AZ46" s="62">
        <v>6.8689999999999998</v>
      </c>
      <c r="BA46" s="62">
        <v>7.0590000000000002</v>
      </c>
      <c r="BB46" s="62">
        <v>7.4969999999999999</v>
      </c>
      <c r="BC46" s="62">
        <v>7.6440000000000001</v>
      </c>
      <c r="BD46" s="62">
        <v>8.0850000000000009</v>
      </c>
      <c r="BE46" s="62">
        <v>8.0559999999999992</v>
      </c>
    </row>
    <row r="47" spans="1:57">
      <c r="A47" s="104" t="s">
        <v>145</v>
      </c>
      <c r="B47" s="104" t="s">
        <v>146</v>
      </c>
      <c r="C47" s="62">
        <v>12.673999999999999</v>
      </c>
      <c r="D47" s="62">
        <v>12.513</v>
      </c>
      <c r="E47" s="62">
        <v>12.708</v>
      </c>
      <c r="F47" s="62">
        <v>14.593</v>
      </c>
      <c r="G47" s="62">
        <v>14.053000000000001</v>
      </c>
      <c r="H47" s="62">
        <v>14.965</v>
      </c>
      <c r="I47" s="62">
        <v>15.641999999999999</v>
      </c>
      <c r="J47" s="62">
        <v>15.36</v>
      </c>
      <c r="K47" s="62">
        <v>15.786</v>
      </c>
      <c r="L47" s="62">
        <v>15.215999999999999</v>
      </c>
      <c r="M47" s="62">
        <v>14.15</v>
      </c>
      <c r="N47" s="62">
        <v>13.714</v>
      </c>
      <c r="O47" s="62">
        <v>14.311</v>
      </c>
      <c r="P47" s="62">
        <v>14.705</v>
      </c>
      <c r="Q47" s="62">
        <v>13.922000000000001</v>
      </c>
      <c r="R47" s="62">
        <v>14.866</v>
      </c>
      <c r="S47" s="62">
        <v>15.714</v>
      </c>
      <c r="T47" s="62">
        <v>17.407</v>
      </c>
      <c r="U47" s="62">
        <v>17.219000000000001</v>
      </c>
      <c r="V47" s="62">
        <v>16.898</v>
      </c>
      <c r="W47" s="62">
        <v>17.132000000000001</v>
      </c>
      <c r="X47" s="62">
        <v>15.756</v>
      </c>
      <c r="Y47" s="62">
        <v>17.431999999999999</v>
      </c>
      <c r="Z47" s="62">
        <v>17.745999999999999</v>
      </c>
      <c r="AA47" s="62">
        <v>16.978999999999999</v>
      </c>
      <c r="AB47" s="62">
        <v>18.646999999999998</v>
      </c>
      <c r="AC47" s="62">
        <v>19.344000000000001</v>
      </c>
      <c r="AD47" s="62">
        <v>20.387</v>
      </c>
      <c r="AE47" s="62">
        <v>20.466000000000001</v>
      </c>
      <c r="AF47" s="62">
        <v>19.518000000000001</v>
      </c>
      <c r="AG47" s="62">
        <v>18.757999999999999</v>
      </c>
      <c r="AH47" s="62">
        <v>18.577000000000002</v>
      </c>
      <c r="AI47" s="62">
        <v>18.571999999999999</v>
      </c>
      <c r="AJ47" s="62">
        <v>18.596</v>
      </c>
      <c r="AK47" s="62">
        <v>19.245000000000001</v>
      </c>
      <c r="AL47" s="62">
        <v>20.658999999999999</v>
      </c>
      <c r="AM47" s="62">
        <v>20.434000000000001</v>
      </c>
      <c r="AN47" s="62">
        <v>21.283999999999999</v>
      </c>
      <c r="AO47" s="62">
        <v>20.626000000000001</v>
      </c>
      <c r="AP47" s="62">
        <v>21.077000000000002</v>
      </c>
      <c r="AQ47" s="62">
        <v>20.864999999999998</v>
      </c>
      <c r="AR47" s="62">
        <v>21.75</v>
      </c>
      <c r="AS47" s="62">
        <v>22.800999999999998</v>
      </c>
      <c r="AT47" s="62">
        <v>23.422999999999998</v>
      </c>
      <c r="AU47" s="62">
        <v>24.98</v>
      </c>
      <c r="AV47" s="62">
        <v>25.69</v>
      </c>
      <c r="AW47" s="62">
        <v>27.013000000000002</v>
      </c>
      <c r="AX47" s="62">
        <v>29.405999999999999</v>
      </c>
      <c r="AY47" s="62">
        <v>28.102</v>
      </c>
      <c r="AZ47" s="62">
        <v>31.38</v>
      </c>
      <c r="BA47" s="62">
        <v>33.773000000000003</v>
      </c>
      <c r="BB47" s="62">
        <v>33.375</v>
      </c>
      <c r="BC47" s="62">
        <v>31.55</v>
      </c>
      <c r="BD47" s="62">
        <v>33.299999999999997</v>
      </c>
      <c r="BE47" s="62">
        <v>30.94</v>
      </c>
    </row>
    <row r="48" spans="1:57">
      <c r="A48" s="104" t="s">
        <v>262</v>
      </c>
      <c r="B48" s="104" t="s">
        <v>263</v>
      </c>
      <c r="C48" s="62">
        <v>33.2973</v>
      </c>
      <c r="D48" s="62">
        <v>34.931100000000001</v>
      </c>
      <c r="E48" s="62">
        <v>39.652799999999999</v>
      </c>
      <c r="F48" s="62">
        <v>42.512</v>
      </c>
      <c r="G48" s="62">
        <v>43.998800000000003</v>
      </c>
      <c r="H48" s="62">
        <v>45.338500000000003</v>
      </c>
      <c r="I48" s="62">
        <v>45.681800000000003</v>
      </c>
      <c r="J48" s="62">
        <v>45.072000000000003</v>
      </c>
      <c r="K48" s="62">
        <v>47.0199</v>
      </c>
      <c r="L48" s="62">
        <v>49.340400000000002</v>
      </c>
      <c r="M48" s="62">
        <v>49.069400000000002</v>
      </c>
      <c r="N48" s="62">
        <v>48.3919</v>
      </c>
      <c r="O48" s="62">
        <v>50.136499999999998</v>
      </c>
      <c r="P48" s="62">
        <v>50.559899999999999</v>
      </c>
      <c r="Q48" s="62">
        <v>50.509099999999997</v>
      </c>
      <c r="R48" s="62">
        <v>46.799700000000001</v>
      </c>
      <c r="S48" s="62">
        <v>48.764499999999998</v>
      </c>
      <c r="T48" s="62">
        <v>43.090299999999999</v>
      </c>
      <c r="U48" s="62">
        <v>39.516399999999997</v>
      </c>
      <c r="V48" s="62">
        <v>46.341900000000003</v>
      </c>
      <c r="W48" s="62">
        <v>43.529200000000003</v>
      </c>
      <c r="X48" s="62">
        <v>43.663200000000003</v>
      </c>
      <c r="Y48" s="62">
        <v>50.663499999999999</v>
      </c>
      <c r="Z48" s="62">
        <v>55.717399999999998</v>
      </c>
      <c r="AA48" s="62">
        <v>53.0565</v>
      </c>
      <c r="AB48" s="62">
        <v>57.806800000000003</v>
      </c>
      <c r="AC48" s="62">
        <v>67.182299999999998</v>
      </c>
      <c r="AD48" s="62">
        <v>64.0929</v>
      </c>
      <c r="AE48" s="62">
        <v>66.182299999999998</v>
      </c>
      <c r="AF48" s="62">
        <v>61.896299999999997</v>
      </c>
      <c r="AG48" s="62">
        <v>65.628699999999995</v>
      </c>
      <c r="AH48" s="62">
        <v>68.245000000000005</v>
      </c>
      <c r="AI48" s="62">
        <v>66.980900000000005</v>
      </c>
      <c r="AJ48" s="62">
        <v>66.701999999999998</v>
      </c>
      <c r="AK48" s="62">
        <v>66.664900000000003</v>
      </c>
      <c r="AL48" s="62">
        <v>72.111800000000002</v>
      </c>
      <c r="AM48" s="62">
        <v>78.079300000000003</v>
      </c>
      <c r="AN48" s="62">
        <v>86.537899999999993</v>
      </c>
      <c r="AO48" s="62">
        <v>90.888000000000005</v>
      </c>
      <c r="AP48" s="62">
        <v>93.927499999999995</v>
      </c>
      <c r="AQ48" s="62">
        <v>96.530199999999994</v>
      </c>
      <c r="AR48" s="62">
        <v>95.554199999999994</v>
      </c>
      <c r="AS48" s="62">
        <v>92.375299999999996</v>
      </c>
      <c r="AT48" s="62">
        <v>92.984700000000004</v>
      </c>
      <c r="AU48" s="62">
        <v>95.679299999999998</v>
      </c>
      <c r="AV48" s="62">
        <v>94.505200000000002</v>
      </c>
      <c r="AW48" s="62">
        <v>94.043300000000002</v>
      </c>
      <c r="AX48" s="62">
        <v>98.835899999999995</v>
      </c>
      <c r="AY48" s="62">
        <v>99.124600000000001</v>
      </c>
      <c r="AZ48" s="62">
        <v>99.076499999999996</v>
      </c>
      <c r="BA48" s="62">
        <v>91.906800000000004</v>
      </c>
      <c r="BB48" s="62">
        <v>83.476399999999998</v>
      </c>
      <c r="BC48" s="62">
        <v>85.901600000000002</v>
      </c>
      <c r="BD48" s="62">
        <v>92.272499999999994</v>
      </c>
      <c r="BE48" s="62">
        <v>92.08</v>
      </c>
    </row>
    <row r="49" spans="1:57">
      <c r="A49" s="104" t="s">
        <v>265</v>
      </c>
      <c r="B49" s="104" t="s">
        <v>266</v>
      </c>
      <c r="C49" s="62">
        <v>46.052</v>
      </c>
      <c r="D49" s="62">
        <v>42.523000000000003</v>
      </c>
      <c r="E49" s="62">
        <v>40.72</v>
      </c>
      <c r="F49" s="62">
        <v>43.124000000000002</v>
      </c>
      <c r="G49" s="62">
        <v>43.347999999999999</v>
      </c>
      <c r="H49" s="62">
        <v>40.889000000000003</v>
      </c>
      <c r="I49" s="62">
        <v>43.38</v>
      </c>
      <c r="J49" s="62">
        <v>44.49</v>
      </c>
      <c r="K49" s="62">
        <v>45.411000000000001</v>
      </c>
      <c r="L49" s="62">
        <v>41.301000000000002</v>
      </c>
      <c r="M49" s="62">
        <v>41.523000000000003</v>
      </c>
      <c r="N49" s="62">
        <v>41.475999999999999</v>
      </c>
      <c r="O49" s="62">
        <v>41.043999999999997</v>
      </c>
      <c r="P49" s="62">
        <v>42.804000000000002</v>
      </c>
      <c r="Q49" s="62">
        <v>39.826000000000001</v>
      </c>
      <c r="R49" s="62">
        <v>35.805999999999997</v>
      </c>
      <c r="S49" s="62">
        <v>31.920999999999999</v>
      </c>
      <c r="T49" s="62">
        <v>31.408000000000001</v>
      </c>
      <c r="U49" s="62">
        <v>26.114000000000001</v>
      </c>
      <c r="V49" s="62">
        <v>28.805</v>
      </c>
      <c r="W49" s="62">
        <v>23.919</v>
      </c>
      <c r="X49" s="62">
        <v>19.422000000000001</v>
      </c>
      <c r="Y49" s="62">
        <v>19.82</v>
      </c>
      <c r="Z49" s="62">
        <v>21.06</v>
      </c>
      <c r="AA49" s="62">
        <v>19.492999999999999</v>
      </c>
      <c r="AB49" s="62">
        <v>22.998000000000001</v>
      </c>
      <c r="AC49" s="62">
        <v>21.228000000000002</v>
      </c>
      <c r="AD49" s="62">
        <v>15.359</v>
      </c>
      <c r="AE49" s="62">
        <v>17.408000000000001</v>
      </c>
      <c r="AF49" s="62">
        <v>15.888</v>
      </c>
      <c r="AG49" s="62">
        <v>16.57</v>
      </c>
      <c r="AH49" s="62">
        <v>19.693000000000001</v>
      </c>
      <c r="AI49" s="62">
        <v>20.518999999999998</v>
      </c>
      <c r="AJ49" s="62">
        <v>21.056999999999999</v>
      </c>
      <c r="AK49" s="62">
        <v>20.12</v>
      </c>
      <c r="AL49" s="62">
        <v>23.739000000000001</v>
      </c>
      <c r="AM49" s="62">
        <v>26.486000000000001</v>
      </c>
      <c r="AN49" s="62">
        <v>26.588000000000001</v>
      </c>
      <c r="AO49" s="62">
        <v>23.925000000000001</v>
      </c>
      <c r="AP49" s="62">
        <v>25.308</v>
      </c>
      <c r="AQ49" s="62">
        <v>25.010999999999999</v>
      </c>
      <c r="AR49" s="62">
        <v>27.506</v>
      </c>
      <c r="AS49" s="62">
        <v>25.378</v>
      </c>
      <c r="AT49" s="62">
        <v>27.247</v>
      </c>
      <c r="AU49" s="62">
        <v>29.911999999999999</v>
      </c>
      <c r="AV49" s="62">
        <v>31.456</v>
      </c>
      <c r="AW49" s="62">
        <v>28.858000000000001</v>
      </c>
      <c r="AX49" s="62">
        <v>30.036999999999999</v>
      </c>
      <c r="AY49" s="62">
        <v>28.11</v>
      </c>
      <c r="AZ49" s="62">
        <v>28.187000000000001</v>
      </c>
      <c r="BA49" s="62">
        <v>28.713999999999999</v>
      </c>
      <c r="BB49" s="62">
        <v>23.939</v>
      </c>
      <c r="BC49" s="62">
        <v>27.946999999999999</v>
      </c>
      <c r="BD49" s="62">
        <v>28.79</v>
      </c>
      <c r="BE49" s="62">
        <v>29.97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5A5D3-DD47-46A9-B96F-424E55E04D21}">
  <sheetPr>
    <tabColor theme="9" tint="0.59999389629810485"/>
  </sheetPr>
  <dimension ref="A1:ER53"/>
  <sheetViews>
    <sheetView workbookViewId="0">
      <pane xSplit="2" ySplit="1" topLeftCell="C2" activePane="bottomRight" state="frozen"/>
      <selection pane="bottomRight"/>
      <selection pane="bottomLeft"/>
      <selection pane="topRight"/>
    </sheetView>
  </sheetViews>
  <sheetFormatPr defaultRowHeight="15"/>
  <cols>
    <col min="1" max="1" width="11.85546875" bestFit="1" customWidth="1"/>
    <col min="2" max="2" width="16.5703125" bestFit="1" customWidth="1"/>
    <col min="3" max="3" width="9.140625" style="24"/>
    <col min="4" max="4" width="9.85546875" bestFit="1" customWidth="1"/>
    <col min="5" max="5" width="10.140625" bestFit="1" customWidth="1"/>
    <col min="6" max="6" width="9.7109375" bestFit="1" customWidth="1"/>
    <col min="7" max="7" width="9.5703125" bestFit="1" customWidth="1"/>
    <col min="8" max="9" width="10" bestFit="1" customWidth="1"/>
    <col min="10" max="10" width="9.5703125" bestFit="1" customWidth="1"/>
    <col min="11" max="11" width="9.42578125" bestFit="1" customWidth="1"/>
    <col min="12" max="12" width="9.5703125" bestFit="1" customWidth="1"/>
    <col min="13" max="13" width="9.7109375" bestFit="1" customWidth="1"/>
    <col min="14" max="14" width="9.42578125" bestFit="1" customWidth="1"/>
    <col min="16" max="16" width="9.85546875" bestFit="1" customWidth="1"/>
    <col min="17" max="17" width="10.140625" bestFit="1" customWidth="1"/>
    <col min="18" max="18" width="9.7109375" bestFit="1" customWidth="1"/>
    <col min="19" max="19" width="9.5703125" bestFit="1" customWidth="1"/>
    <col min="20" max="21" width="10" bestFit="1" customWidth="1"/>
    <col min="22" max="22" width="9.5703125" bestFit="1" customWidth="1"/>
    <col min="23" max="23" width="9.42578125" bestFit="1" customWidth="1"/>
    <col min="24" max="24" width="9.5703125" bestFit="1" customWidth="1"/>
    <col min="25" max="25" width="9.7109375" bestFit="1" customWidth="1"/>
    <col min="26" max="26" width="9.42578125" bestFit="1" customWidth="1"/>
    <col min="28" max="28" width="9.85546875" bestFit="1" customWidth="1"/>
    <col min="29" max="29" width="10.140625" bestFit="1" customWidth="1"/>
    <col min="30" max="30" width="9.7109375" bestFit="1" customWidth="1"/>
    <col min="31" max="31" width="9.5703125" bestFit="1" customWidth="1"/>
    <col min="32" max="33" width="10" bestFit="1" customWidth="1"/>
    <col min="34" max="34" width="9.5703125" bestFit="1" customWidth="1"/>
    <col min="35" max="35" width="9.42578125" bestFit="1" customWidth="1"/>
    <col min="36" max="36" width="9.5703125" bestFit="1" customWidth="1"/>
    <col min="37" max="37" width="9.7109375" bestFit="1" customWidth="1"/>
    <col min="38" max="38" width="9.42578125" bestFit="1" customWidth="1"/>
    <col min="40" max="40" width="9.85546875" bestFit="1" customWidth="1"/>
    <col min="41" max="41" width="10.140625" bestFit="1" customWidth="1"/>
    <col min="42" max="42" width="9.7109375" bestFit="1" customWidth="1"/>
    <col min="43" max="43" width="9.5703125" bestFit="1" customWidth="1"/>
    <col min="44" max="45" width="10" bestFit="1" customWidth="1"/>
    <col min="46" max="46" width="9.5703125" bestFit="1" customWidth="1"/>
    <col min="47" max="47" width="9.42578125" bestFit="1" customWidth="1"/>
    <col min="48" max="48" width="9.5703125" bestFit="1" customWidth="1"/>
    <col min="49" max="49" width="9.7109375" bestFit="1" customWidth="1"/>
    <col min="50" max="50" width="9.42578125" bestFit="1" customWidth="1"/>
    <col min="52" max="52" width="9.85546875" bestFit="1" customWidth="1"/>
    <col min="53" max="53" width="10.140625" bestFit="1" customWidth="1"/>
    <col min="54" max="54" width="9.7109375" bestFit="1" customWidth="1"/>
    <col min="55" max="55" width="9.5703125" bestFit="1" customWidth="1"/>
    <col min="56" max="56" width="10" bestFit="1" customWidth="1"/>
    <col min="57" max="63" width="11.5703125" bestFit="1" customWidth="1"/>
    <col min="64" max="92" width="12.5703125" bestFit="1" customWidth="1"/>
  </cols>
  <sheetData>
    <row r="1" spans="1:148">
      <c r="A1" s="104" t="s">
        <v>16</v>
      </c>
      <c r="B1" s="104" t="s">
        <v>17</v>
      </c>
      <c r="C1" s="62" t="s">
        <v>1913</v>
      </c>
      <c r="D1" s="62" t="s">
        <v>1914</v>
      </c>
      <c r="E1" s="62" t="s">
        <v>1915</v>
      </c>
      <c r="F1" s="62" t="s">
        <v>1916</v>
      </c>
      <c r="G1" s="62" t="s">
        <v>1917</v>
      </c>
      <c r="H1" s="62" t="s">
        <v>1918</v>
      </c>
      <c r="I1" s="62" t="s">
        <v>1919</v>
      </c>
      <c r="J1" s="62" t="s">
        <v>1920</v>
      </c>
      <c r="K1" s="62" t="s">
        <v>1921</v>
      </c>
      <c r="L1" s="62" t="s">
        <v>1922</v>
      </c>
      <c r="M1" s="62" t="s">
        <v>1923</v>
      </c>
      <c r="N1" s="62" t="s">
        <v>1924</v>
      </c>
      <c r="O1" s="62" t="s">
        <v>1925</v>
      </c>
      <c r="P1" s="62" t="s">
        <v>1926</v>
      </c>
      <c r="Q1" s="62" t="s">
        <v>1927</v>
      </c>
      <c r="R1" s="62" t="s">
        <v>1928</v>
      </c>
      <c r="S1" s="62" t="s">
        <v>1929</v>
      </c>
      <c r="T1" s="62" t="s">
        <v>1930</v>
      </c>
      <c r="U1" s="62" t="s">
        <v>1931</v>
      </c>
      <c r="V1" s="62" t="s">
        <v>1932</v>
      </c>
      <c r="W1" s="62" t="s">
        <v>1933</v>
      </c>
      <c r="X1" s="62" t="s">
        <v>1934</v>
      </c>
      <c r="Y1" s="62" t="s">
        <v>1935</v>
      </c>
      <c r="Z1" s="62" t="s">
        <v>1936</v>
      </c>
      <c r="AA1" s="62" t="s">
        <v>1937</v>
      </c>
      <c r="AB1" s="62" t="s">
        <v>1938</v>
      </c>
      <c r="AC1" s="62" t="s">
        <v>1939</v>
      </c>
      <c r="AD1" s="62" t="s">
        <v>1940</v>
      </c>
      <c r="AE1" s="62" t="s">
        <v>1941</v>
      </c>
      <c r="AF1" s="62" t="s">
        <v>1942</v>
      </c>
      <c r="AG1" s="62" t="s">
        <v>1943</v>
      </c>
      <c r="AH1" s="62" t="s">
        <v>1944</v>
      </c>
      <c r="AI1" s="62" t="s">
        <v>1945</v>
      </c>
      <c r="AJ1" s="62" t="s">
        <v>1946</v>
      </c>
      <c r="AK1" s="62" t="s">
        <v>1947</v>
      </c>
      <c r="AL1" s="62" t="s">
        <v>1948</v>
      </c>
      <c r="AM1" s="62" t="s">
        <v>1949</v>
      </c>
      <c r="AN1" s="62" t="s">
        <v>1950</v>
      </c>
      <c r="AO1" s="62" t="s">
        <v>1951</v>
      </c>
      <c r="AP1" s="62" t="s">
        <v>1952</v>
      </c>
      <c r="AQ1" s="62" t="s">
        <v>1953</v>
      </c>
      <c r="AR1" s="62" t="s">
        <v>1954</v>
      </c>
      <c r="AS1" s="62" t="s">
        <v>1955</v>
      </c>
      <c r="AT1" s="62" t="s">
        <v>1956</v>
      </c>
      <c r="AU1" s="62" t="s">
        <v>1957</v>
      </c>
      <c r="AV1" s="62" t="s">
        <v>1958</v>
      </c>
      <c r="AW1" s="62" t="s">
        <v>1959</v>
      </c>
      <c r="AX1" s="62" t="s">
        <v>1960</v>
      </c>
      <c r="AY1" s="62" t="s">
        <v>1961</v>
      </c>
      <c r="AZ1" s="62" t="s">
        <v>1962</v>
      </c>
      <c r="BA1" s="62" t="s">
        <v>1963</v>
      </c>
      <c r="BB1" s="62" t="s">
        <v>1964</v>
      </c>
      <c r="BC1" s="62" t="s">
        <v>1965</v>
      </c>
      <c r="BD1" s="62" t="s">
        <v>1966</v>
      </c>
      <c r="BE1" s="62" t="s">
        <v>1967</v>
      </c>
      <c r="BF1" s="62" t="s">
        <v>1968</v>
      </c>
      <c r="BG1" s="62" t="s">
        <v>1969</v>
      </c>
      <c r="BH1" s="62" t="s">
        <v>1970</v>
      </c>
      <c r="BI1" s="62" t="s">
        <v>1971</v>
      </c>
      <c r="BJ1" s="62" t="s">
        <v>1972</v>
      </c>
      <c r="BK1" s="62" t="s">
        <v>1973</v>
      </c>
      <c r="BL1" s="62" t="s">
        <v>1974</v>
      </c>
      <c r="BM1" s="62" t="s">
        <v>1975</v>
      </c>
      <c r="BN1" s="62" t="s">
        <v>1976</v>
      </c>
      <c r="BO1" s="62" t="s">
        <v>1977</v>
      </c>
      <c r="BP1" s="62" t="s">
        <v>1978</v>
      </c>
      <c r="BQ1" s="62" t="s">
        <v>1979</v>
      </c>
      <c r="BR1" s="62" t="s">
        <v>1980</v>
      </c>
      <c r="BS1" s="62" t="s">
        <v>1981</v>
      </c>
      <c r="BT1" s="62" t="s">
        <v>1982</v>
      </c>
      <c r="BU1" s="62" t="s">
        <v>1983</v>
      </c>
      <c r="BV1" s="62" t="s">
        <v>1984</v>
      </c>
      <c r="BW1" s="62" t="s">
        <v>1985</v>
      </c>
      <c r="BX1" s="62" t="s">
        <v>1986</v>
      </c>
      <c r="BY1" s="62" t="s">
        <v>1987</v>
      </c>
      <c r="BZ1" s="62" t="s">
        <v>1988</v>
      </c>
      <c r="CA1" s="62" t="s">
        <v>1989</v>
      </c>
      <c r="CB1" s="62" t="s">
        <v>1990</v>
      </c>
      <c r="CC1" s="62" t="s">
        <v>1991</v>
      </c>
      <c r="CD1" s="62" t="s">
        <v>1992</v>
      </c>
      <c r="CE1" s="62" t="s">
        <v>1993</v>
      </c>
      <c r="CF1" s="62" t="s">
        <v>1994</v>
      </c>
      <c r="CG1" s="62" t="s">
        <v>1995</v>
      </c>
      <c r="CH1" s="62" t="s">
        <v>1996</v>
      </c>
      <c r="CI1" s="62" t="s">
        <v>1997</v>
      </c>
      <c r="CJ1" s="62" t="s">
        <v>1998</v>
      </c>
      <c r="CK1" s="62" t="s">
        <v>1999</v>
      </c>
      <c r="CL1" s="62" t="s">
        <v>2000</v>
      </c>
      <c r="CM1" s="62" t="s">
        <v>2001</v>
      </c>
      <c r="CN1" s="62" t="s">
        <v>2002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/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/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/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</row>
    <row r="2" spans="1:148">
      <c r="A2" s="104" t="s">
        <v>36</v>
      </c>
      <c r="B2" s="104" t="s">
        <v>37</v>
      </c>
      <c r="C2" s="62">
        <v>-5.6099999999999997E-2</v>
      </c>
      <c r="D2" s="62">
        <v>0.18210000000000001</v>
      </c>
      <c r="E2" s="62">
        <v>8.2699999999999996E-2</v>
      </c>
      <c r="F2" s="62">
        <v>4.4999999999999997E-3</v>
      </c>
      <c r="G2" s="62">
        <v>5.7000000000000002E-2</v>
      </c>
      <c r="H2" s="62">
        <v>-3.5900000000000001E-2</v>
      </c>
      <c r="I2" s="62">
        <v>8.9999999999999998E-4</v>
      </c>
      <c r="J2" s="62">
        <v>2.8299999999999999E-2</v>
      </c>
      <c r="K2" s="62">
        <v>2.3300000000000001E-2</v>
      </c>
      <c r="L2" s="62">
        <v>4.19E-2</v>
      </c>
      <c r="M2" s="62">
        <v>-0.1123</v>
      </c>
      <c r="N2" s="62">
        <v>7.4899999999999994E-2</v>
      </c>
      <c r="O2" s="62">
        <v>0.15190000000000001</v>
      </c>
      <c r="P2" s="62">
        <v>-0.1244</v>
      </c>
      <c r="Q2" s="62">
        <v>-9.1600000000000001E-2</v>
      </c>
      <c r="R2" s="62">
        <v>-6.1800000000000001E-2</v>
      </c>
      <c r="S2" s="62">
        <v>8.1799999999999998E-2</v>
      </c>
      <c r="T2" s="62">
        <v>-0.12330000000000001</v>
      </c>
      <c r="U2" s="62">
        <v>-2.8899999999999999E-2</v>
      </c>
      <c r="V2" s="62">
        <v>-3.2000000000000002E-3</v>
      </c>
      <c r="W2" s="62">
        <v>-1.17E-2</v>
      </c>
      <c r="X2" s="62">
        <v>0.13289999999999999</v>
      </c>
      <c r="Y2" s="62">
        <v>0.13789999999999999</v>
      </c>
      <c r="Z2" s="62">
        <v>-2.07E-2</v>
      </c>
      <c r="AA2" s="62">
        <v>0.15970000000000001</v>
      </c>
      <c r="AB2" s="62">
        <v>6.2899999999999998E-2</v>
      </c>
      <c r="AC2" s="62">
        <v>-7.5800000000000006E-2</v>
      </c>
      <c r="AD2" s="62">
        <v>7.1999999999999998E-3</v>
      </c>
      <c r="AE2" s="62">
        <v>-6.1100000000000002E-2</v>
      </c>
      <c r="AF2" s="62">
        <v>0.1134</v>
      </c>
      <c r="AG2" s="62">
        <v>9.5399999999999999E-2</v>
      </c>
      <c r="AH2" s="62">
        <v>-5.9700000000000003E-2</v>
      </c>
      <c r="AI2" s="62">
        <v>-1.29E-2</v>
      </c>
      <c r="AJ2" s="62">
        <v>6.7000000000000002E-3</v>
      </c>
      <c r="AK2" s="62">
        <v>0.1363</v>
      </c>
      <c r="AL2" s="62">
        <v>6.9999999999999999E-4</v>
      </c>
      <c r="AM2" s="62">
        <v>8.3099999999999993E-2</v>
      </c>
      <c r="AN2" s="62">
        <v>2.6200000000000001E-2</v>
      </c>
      <c r="AO2" s="62">
        <v>0.14460000000000001</v>
      </c>
      <c r="AP2" s="62">
        <v>4.8500000000000001E-2</v>
      </c>
      <c r="AQ2" s="62">
        <v>6.5699999999999995E-2</v>
      </c>
      <c r="AR2" s="62">
        <v>-3.7400000000000003E-2</v>
      </c>
      <c r="AS2" s="62">
        <v>8.0500000000000002E-2</v>
      </c>
      <c r="AT2" s="62">
        <v>3.7000000000000002E-3</v>
      </c>
      <c r="AU2" s="62">
        <v>1.9400000000000001E-2</v>
      </c>
      <c r="AV2" s="62">
        <v>2.5899999999999999E-2</v>
      </c>
      <c r="AW2" s="62">
        <v>-3.6700000000000003E-2</v>
      </c>
      <c r="AX2" s="62">
        <v>6.5100000000000005E-2</v>
      </c>
      <c r="AY2" s="62">
        <v>8.5400000000000004E-2</v>
      </c>
      <c r="AZ2" s="62">
        <v>0.1288</v>
      </c>
      <c r="BA2" s="62">
        <v>2.0000000000000001E-4</v>
      </c>
      <c r="BB2" s="62">
        <v>-1.0999999999999999E-2</v>
      </c>
      <c r="BC2" s="62">
        <v>8.5999999999999993E-2</v>
      </c>
      <c r="BD2" s="62">
        <v>-3.8E-3</v>
      </c>
      <c r="BE2" s="62"/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/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/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/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/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</row>
    <row r="3" spans="1:148">
      <c r="A3" s="104" t="s">
        <v>45</v>
      </c>
      <c r="B3" s="104" t="s">
        <v>46</v>
      </c>
      <c r="C3" s="62">
        <v>-7.7100000000000002E-2</v>
      </c>
      <c r="D3" s="62">
        <v>0.2387</v>
      </c>
      <c r="E3" s="62">
        <v>5.2900000000000003E-2</v>
      </c>
      <c r="F3" s="62">
        <v>2.9100000000000001E-2</v>
      </c>
      <c r="G3" s="62">
        <v>6.7100000000000007E-2</v>
      </c>
      <c r="H3" s="62">
        <v>-5.3400000000000003E-2</v>
      </c>
      <c r="I3" s="62">
        <v>-2.69E-2</v>
      </c>
      <c r="J3" s="62">
        <v>4.4299999999999999E-2</v>
      </c>
      <c r="K3" s="62">
        <v>6.0900000000000003E-2</v>
      </c>
      <c r="L3" s="62">
        <v>4.4400000000000002E-2</v>
      </c>
      <c r="M3" s="62">
        <v>-4.87E-2</v>
      </c>
      <c r="N3" s="62">
        <v>0.1033</v>
      </c>
      <c r="O3" s="62">
        <v>3.6700000000000003E-2</v>
      </c>
      <c r="P3" s="62">
        <v>-0.16650000000000001</v>
      </c>
      <c r="Q3" s="62">
        <v>-1.0999999999999999E-2</v>
      </c>
      <c r="R3" s="62">
        <v>-4.2799999999999998E-2</v>
      </c>
      <c r="S3" s="62">
        <v>0.1469</v>
      </c>
      <c r="T3" s="62">
        <v>-0.14580000000000001</v>
      </c>
      <c r="U3" s="62">
        <v>1.4E-2</v>
      </c>
      <c r="V3" s="62">
        <v>1.0500000000000001E-2</v>
      </c>
      <c r="W3" s="62">
        <v>-6.2E-2</v>
      </c>
      <c r="X3" s="62">
        <v>8.9200000000000002E-2</v>
      </c>
      <c r="Y3" s="62">
        <v>0.125</v>
      </c>
      <c r="Z3" s="62">
        <v>-3.3999999999999998E-3</v>
      </c>
      <c r="AA3" s="62">
        <v>0.1812</v>
      </c>
      <c r="AB3" s="62">
        <v>5.1700000000000003E-2</v>
      </c>
      <c r="AC3" s="62">
        <v>-0.16539999999999999</v>
      </c>
      <c r="AD3" s="62">
        <v>6.1199999999999997E-2</v>
      </c>
      <c r="AE3" s="62">
        <v>-1.3899999999999999E-2</v>
      </c>
      <c r="AF3" s="62">
        <v>6.8699999999999997E-2</v>
      </c>
      <c r="AG3" s="62">
        <v>3.9800000000000002E-2</v>
      </c>
      <c r="AH3" s="62">
        <v>-5.1999999999999998E-3</v>
      </c>
      <c r="AI3" s="62">
        <v>1.21E-2</v>
      </c>
      <c r="AJ3" s="62">
        <v>-0.1016</v>
      </c>
      <c r="AK3" s="62">
        <v>6.4100000000000004E-2</v>
      </c>
      <c r="AL3" s="62">
        <v>8.3400000000000002E-2</v>
      </c>
      <c r="AM3" s="62">
        <v>-5.9999999999999995E-4</v>
      </c>
      <c r="AN3" s="62">
        <v>-0.11459999999999999</v>
      </c>
      <c r="AO3" s="62">
        <v>0.18920000000000001</v>
      </c>
      <c r="AP3" s="62">
        <v>2.6599999999999999E-2</v>
      </c>
      <c r="AQ3" s="62">
        <v>6.88E-2</v>
      </c>
      <c r="AR3" s="62">
        <v>-0.1207</v>
      </c>
      <c r="AS3" s="62">
        <v>6.6000000000000003E-2</v>
      </c>
      <c r="AT3" s="62">
        <v>-1.3899999999999999E-2</v>
      </c>
      <c r="AU3" s="62">
        <v>-1.6500000000000001E-2</v>
      </c>
      <c r="AV3" s="62">
        <v>1.95E-2</v>
      </c>
      <c r="AW3" s="62">
        <v>-9.74E-2</v>
      </c>
      <c r="AX3" s="62">
        <v>4.5600000000000002E-2</v>
      </c>
      <c r="AY3" s="62">
        <v>0.10979999999999999</v>
      </c>
      <c r="AZ3" s="62">
        <v>0.1086</v>
      </c>
      <c r="BA3" s="62">
        <v>5.5599999999999997E-2</v>
      </c>
      <c r="BB3" s="62">
        <v>-3.4099999999999998E-2</v>
      </c>
      <c r="BC3" s="62">
        <v>0.105</v>
      </c>
      <c r="BD3" s="62">
        <v>-1.06E-2</v>
      </c>
      <c r="BE3" s="62"/>
      <c r="BF3" s="62"/>
      <c r="BG3" s="62"/>
      <c r="BH3" s="62"/>
      <c r="BI3" s="62"/>
      <c r="BJ3" s="62"/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/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/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/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/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/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</row>
    <row r="4" spans="1:148">
      <c r="A4" s="104" t="s">
        <v>56</v>
      </c>
      <c r="B4" s="104" t="s">
        <v>57</v>
      </c>
      <c r="C4" s="62">
        <v>-6.6400000000000001E-2</v>
      </c>
      <c r="D4" s="62">
        <v>0.222</v>
      </c>
      <c r="E4" s="62">
        <v>-3.85E-2</v>
      </c>
      <c r="F4" s="62">
        <v>6.9400000000000003E-2</v>
      </c>
      <c r="G4" s="62">
        <v>9.9699999999999997E-2</v>
      </c>
      <c r="H4" s="62">
        <v>1.7899999999999999E-2</v>
      </c>
      <c r="I4" s="62">
        <v>3.5000000000000003E-2</v>
      </c>
      <c r="J4" s="62">
        <v>2.5100000000000001E-2</v>
      </c>
      <c r="K4" s="62">
        <v>3.0599999999999999E-2</v>
      </c>
      <c r="L4" s="62">
        <v>7.46E-2</v>
      </c>
      <c r="M4" s="62">
        <v>-0.2243</v>
      </c>
      <c r="N4" s="62">
        <v>0.1164</v>
      </c>
      <c r="O4" s="62">
        <v>7.3099999999999998E-2</v>
      </c>
      <c r="P4" s="62">
        <v>-6.1100000000000002E-2</v>
      </c>
      <c r="Q4" s="62">
        <v>-1.5100000000000001E-2</v>
      </c>
      <c r="R4" s="62">
        <v>1.55E-2</v>
      </c>
      <c r="S4" s="62">
        <v>4.0000000000000001E-3</v>
      </c>
      <c r="T4" s="62">
        <v>-0.1474</v>
      </c>
      <c r="U4" s="62">
        <v>0.02</v>
      </c>
      <c r="V4" s="62">
        <v>1.6899999999999998E-2</v>
      </c>
      <c r="W4" s="62">
        <v>2.87E-2</v>
      </c>
      <c r="X4" s="62">
        <v>0.15629999999999999</v>
      </c>
      <c r="Y4" s="62">
        <v>7.7399999999999997E-2</v>
      </c>
      <c r="Z4" s="62">
        <v>3.8999999999999998E-3</v>
      </c>
      <c r="AA4" s="62">
        <v>0.14710000000000001</v>
      </c>
      <c r="AB4" s="62">
        <v>0.14080000000000001</v>
      </c>
      <c r="AC4" s="62">
        <v>-0.10879999999999999</v>
      </c>
      <c r="AD4" s="62">
        <v>6.2100000000000002E-2</v>
      </c>
      <c r="AE4" s="62">
        <v>-7.9699999999999993E-2</v>
      </c>
      <c r="AF4" s="62">
        <v>0.14899999999999999</v>
      </c>
      <c r="AG4" s="62">
        <v>2.53E-2</v>
      </c>
      <c r="AH4" s="62">
        <v>7.7999999999999996E-3</v>
      </c>
      <c r="AI4" s="62">
        <v>6.1100000000000002E-2</v>
      </c>
      <c r="AJ4" s="62">
        <v>-1.6899999999999998E-2</v>
      </c>
      <c r="AK4" s="62">
        <v>0.14610000000000001</v>
      </c>
      <c r="AL4" s="62">
        <v>-3.2899999999999999E-2</v>
      </c>
      <c r="AM4" s="62">
        <v>5.4699999999999999E-2</v>
      </c>
      <c r="AN4" s="62">
        <v>5.8799999999999998E-2</v>
      </c>
      <c r="AO4" s="62">
        <v>0.20180000000000001</v>
      </c>
      <c r="AP4" s="62">
        <v>-4.4499999999999998E-2</v>
      </c>
      <c r="AQ4" s="62">
        <v>-2.3099999999999999E-2</v>
      </c>
      <c r="AR4" s="62">
        <v>-5.9200000000000003E-2</v>
      </c>
      <c r="AS4" s="62">
        <v>3.7600000000000001E-2</v>
      </c>
      <c r="AT4" s="62">
        <v>-1.17E-2</v>
      </c>
      <c r="AU4" s="62">
        <v>1.23E-2</v>
      </c>
      <c r="AV4" s="62">
        <v>-2.8299999999999999E-2</v>
      </c>
      <c r="AW4" s="62">
        <v>-2.3400000000000001E-2</v>
      </c>
      <c r="AX4" s="62">
        <v>5.7700000000000001E-2</v>
      </c>
      <c r="AY4" s="62">
        <v>0.1691</v>
      </c>
      <c r="AZ4" s="62">
        <v>0.16059999999999999</v>
      </c>
      <c r="BA4" s="62">
        <v>-2.18E-2</v>
      </c>
      <c r="BB4" s="62">
        <v>-8.0000000000000004E-4</v>
      </c>
      <c r="BC4" s="62">
        <v>9.5399999999999999E-2</v>
      </c>
      <c r="BD4" s="62">
        <v>-1.17E-2</v>
      </c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M4" s="62"/>
      <c r="EN4" s="62"/>
      <c r="EO4" s="62"/>
      <c r="EP4" s="62"/>
      <c r="EQ4" s="62"/>
      <c r="ER4" s="62"/>
    </row>
    <row r="5" spans="1:148">
      <c r="A5" s="104" t="s">
        <v>65</v>
      </c>
      <c r="B5" s="104" t="s">
        <v>66</v>
      </c>
      <c r="C5" s="62">
        <v>-8.3799999999999999E-2</v>
      </c>
      <c r="D5" s="62">
        <v>0.20760000000000001</v>
      </c>
      <c r="E5" s="62">
        <v>0.1096</v>
      </c>
      <c r="F5" s="62">
        <v>5.96E-2</v>
      </c>
      <c r="G5" s="62">
        <v>0.1111</v>
      </c>
      <c r="H5" s="62">
        <v>-6.3299999999999995E-2</v>
      </c>
      <c r="I5" s="62">
        <v>-1.6400000000000001E-2</v>
      </c>
      <c r="J5" s="62">
        <v>-3.3000000000000002E-2</v>
      </c>
      <c r="K5" s="62">
        <v>6.2600000000000003E-2</v>
      </c>
      <c r="L5" s="62">
        <v>9.8400000000000001E-2</v>
      </c>
      <c r="M5" s="62">
        <v>-7.7799999999999994E-2</v>
      </c>
      <c r="N5" s="62">
        <v>3.5400000000000001E-2</v>
      </c>
      <c r="O5" s="62">
        <v>7.5999999999999998E-2</v>
      </c>
      <c r="P5" s="62">
        <v>-5.33E-2</v>
      </c>
      <c r="Q5" s="62">
        <v>-3.6200000000000003E-2</v>
      </c>
      <c r="R5" s="62">
        <v>1.03E-2</v>
      </c>
      <c r="S5" s="62">
        <v>-3.5099999999999999E-2</v>
      </c>
      <c r="T5" s="62">
        <v>-6.8900000000000003E-2</v>
      </c>
      <c r="U5" s="62">
        <v>9.8599999999999993E-2</v>
      </c>
      <c r="V5" s="62">
        <v>-4.3700000000000003E-2</v>
      </c>
      <c r="W5" s="62">
        <v>-7.2499999999999995E-2</v>
      </c>
      <c r="X5" s="62">
        <v>3.5799999999999998E-2</v>
      </c>
      <c r="Y5" s="62">
        <v>0.1142</v>
      </c>
      <c r="Z5" s="62">
        <v>-5.5599999999999997E-2</v>
      </c>
      <c r="AA5" s="62">
        <v>0.16300000000000001</v>
      </c>
      <c r="AB5" s="62">
        <v>6.4000000000000003E-3</v>
      </c>
      <c r="AC5" s="62">
        <v>-9.7799999999999998E-2</v>
      </c>
      <c r="AD5" s="62">
        <v>4.8099999999999997E-2</v>
      </c>
      <c r="AE5" s="62">
        <v>-6.4000000000000001E-2</v>
      </c>
      <c r="AF5" s="62">
        <v>-1.29E-2</v>
      </c>
      <c r="AG5" s="62">
        <v>3.39E-2</v>
      </c>
      <c r="AH5" s="62">
        <v>-3.6799999999999999E-2</v>
      </c>
      <c r="AI5" s="62">
        <v>3.4700000000000002E-2</v>
      </c>
      <c r="AJ5" s="62">
        <v>-0.10390000000000001</v>
      </c>
      <c r="AK5" s="62">
        <v>9.8000000000000004E-2</v>
      </c>
      <c r="AL5" s="62">
        <v>9.2499999999999999E-2</v>
      </c>
      <c r="AM5" s="62">
        <v>-9.4100000000000003E-2</v>
      </c>
      <c r="AN5" s="62">
        <v>9.1300000000000006E-2</v>
      </c>
      <c r="AO5" s="62">
        <v>0.1125</v>
      </c>
      <c r="AP5" s="62">
        <v>4.0300000000000002E-2</v>
      </c>
      <c r="AQ5" s="62">
        <v>7.1999999999999995E-2</v>
      </c>
      <c r="AR5" s="62">
        <v>-8.8999999999999999E-3</v>
      </c>
      <c r="AS5" s="62">
        <v>9.5699999999999993E-2</v>
      </c>
      <c r="AT5" s="62">
        <v>-6.9999999999999999E-4</v>
      </c>
      <c r="AU5" s="62">
        <v>1.78E-2</v>
      </c>
      <c r="AV5" s="62">
        <v>-0.1056</v>
      </c>
      <c r="AW5" s="62">
        <v>1.0500000000000001E-2</v>
      </c>
      <c r="AX5" s="62">
        <v>3.73E-2</v>
      </c>
      <c r="AY5" s="62">
        <v>0.1244</v>
      </c>
      <c r="AZ5" s="62">
        <v>0.18609999999999999</v>
      </c>
      <c r="BA5" s="62">
        <v>-2.63E-2</v>
      </c>
      <c r="BB5" s="62">
        <v>3.49E-2</v>
      </c>
      <c r="BC5" s="62">
        <v>6.3100000000000003E-2</v>
      </c>
      <c r="BD5" s="62">
        <v>-2.3400000000000001E-2</v>
      </c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</row>
    <row r="6" spans="1:148">
      <c r="A6" s="104" t="s">
        <v>73</v>
      </c>
      <c r="B6" s="104" t="s">
        <v>74</v>
      </c>
      <c r="C6" s="62">
        <v>-7.8899999999999998E-2</v>
      </c>
      <c r="D6" s="62">
        <v>0.22869999999999999</v>
      </c>
      <c r="E6" s="62">
        <v>0.1852</v>
      </c>
      <c r="F6" s="62">
        <v>-7.5800000000000006E-2</v>
      </c>
      <c r="G6" s="62">
        <v>5.57E-2</v>
      </c>
      <c r="H6" s="62">
        <v>-6.4600000000000005E-2</v>
      </c>
      <c r="I6" s="62">
        <v>2.6200000000000001E-2</v>
      </c>
      <c r="J6" s="62">
        <v>6.4399999999999999E-2</v>
      </c>
      <c r="K6" s="62">
        <v>2.4199999999999999E-2</v>
      </c>
      <c r="L6" s="62">
        <v>8.6499999999999994E-2</v>
      </c>
      <c r="M6" s="62">
        <v>-9.8599999999999993E-2</v>
      </c>
      <c r="N6" s="62">
        <v>2.9000000000000001E-2</v>
      </c>
      <c r="O6" s="62">
        <v>6.2600000000000003E-2</v>
      </c>
      <c r="P6" s="62">
        <v>-7.4700000000000003E-2</v>
      </c>
      <c r="Q6" s="62">
        <v>-0.1769</v>
      </c>
      <c r="R6" s="62">
        <v>5.0000000000000001E-3</v>
      </c>
      <c r="S6" s="62">
        <v>0.125</v>
      </c>
      <c r="T6" s="62">
        <v>-0.1053</v>
      </c>
      <c r="U6" s="62">
        <v>5.4600000000000003E-2</v>
      </c>
      <c r="V6" s="62">
        <v>2.76E-2</v>
      </c>
      <c r="W6" s="62">
        <v>-0.13750000000000001</v>
      </c>
      <c r="X6" s="62">
        <v>4.4699999999999997E-2</v>
      </c>
      <c r="Y6" s="62">
        <v>8.9300000000000004E-2</v>
      </c>
      <c r="Z6" s="62">
        <v>-4.0899999999999999E-2</v>
      </c>
      <c r="AA6" s="62">
        <v>0.17749999999999999</v>
      </c>
      <c r="AB6" s="62">
        <v>-2.6800000000000001E-2</v>
      </c>
      <c r="AC6" s="62">
        <v>-0.1686</v>
      </c>
      <c r="AD6" s="62">
        <v>0.1003</v>
      </c>
      <c r="AE6" s="62">
        <v>-3.3099999999999997E-2</v>
      </c>
      <c r="AF6" s="62">
        <v>1.37E-2</v>
      </c>
      <c r="AG6" s="62">
        <v>1.3299999999999999E-2</v>
      </c>
      <c r="AH6" s="62">
        <v>-3.1399999999999997E-2</v>
      </c>
      <c r="AI6" s="62">
        <v>6.5299999999999997E-2</v>
      </c>
      <c r="AJ6" s="62">
        <v>-0.1757</v>
      </c>
      <c r="AK6" s="62">
        <v>8.1199999999999994E-2</v>
      </c>
      <c r="AL6" s="62">
        <v>8.5300000000000001E-2</v>
      </c>
      <c r="AM6" s="62">
        <v>-1.9300000000000001E-2</v>
      </c>
      <c r="AN6" s="62">
        <v>0.14019999999999999</v>
      </c>
      <c r="AO6" s="62">
        <v>0.115</v>
      </c>
      <c r="AP6" s="62">
        <v>0.1081</v>
      </c>
      <c r="AQ6" s="62">
        <v>8.7599999999999997E-2</v>
      </c>
      <c r="AR6" s="62">
        <v>-4.5499999999999999E-2</v>
      </c>
      <c r="AS6" s="62">
        <v>0.12670000000000001</v>
      </c>
      <c r="AT6" s="62">
        <v>-1.0500000000000001E-2</v>
      </c>
      <c r="AU6" s="62">
        <v>-4.4999999999999997E-3</v>
      </c>
      <c r="AV6" s="62">
        <v>4.1599999999999998E-2</v>
      </c>
      <c r="AW6" s="62">
        <v>0.12959999999999999</v>
      </c>
      <c r="AX6" s="62">
        <v>2.1299999999999999E-2</v>
      </c>
      <c r="AY6" s="62">
        <v>9.4299999999999995E-2</v>
      </c>
      <c r="AZ6" s="62">
        <v>8.1199999999999994E-2</v>
      </c>
      <c r="BA6" s="62">
        <v>-8.8599999999999998E-2</v>
      </c>
      <c r="BB6" s="62">
        <v>1.5299999999999999E-2</v>
      </c>
      <c r="BC6" s="62">
        <v>0.1134</v>
      </c>
      <c r="BD6" s="62">
        <v>1.24E-2</v>
      </c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</row>
    <row r="7" spans="1:148">
      <c r="A7" s="104" t="s">
        <v>80</v>
      </c>
      <c r="B7" s="104" t="s">
        <v>81</v>
      </c>
      <c r="C7" s="62">
        <v>-0.10929999999999999</v>
      </c>
      <c r="D7" s="62">
        <v>0.2752</v>
      </c>
      <c r="E7" s="62">
        <v>0.1008</v>
      </c>
      <c r="F7" s="62">
        <v>-1.9199999999999998E-2</v>
      </c>
      <c r="G7" s="62">
        <v>6.54E-2</v>
      </c>
      <c r="H7" s="62">
        <v>-1.7500000000000002E-2</v>
      </c>
      <c r="I7" s="62">
        <v>2.3999999999999998E-3</v>
      </c>
      <c r="J7" s="62">
        <v>6.08E-2</v>
      </c>
      <c r="K7" s="62">
        <v>5.4100000000000002E-2</v>
      </c>
      <c r="L7" s="62">
        <v>1.4E-3</v>
      </c>
      <c r="M7" s="62">
        <v>-4.8399999999999999E-2</v>
      </c>
      <c r="N7" s="62">
        <v>7.6200000000000004E-2</v>
      </c>
      <c r="O7" s="62">
        <v>8.2100000000000006E-2</v>
      </c>
      <c r="P7" s="62">
        <v>-5.45E-2</v>
      </c>
      <c r="Q7" s="62">
        <v>-3.4799999999999998E-2</v>
      </c>
      <c r="R7" s="62">
        <v>1.55E-2</v>
      </c>
      <c r="S7" s="62">
        <v>3.2399999999999998E-2</v>
      </c>
      <c r="T7" s="62">
        <v>-5.5E-2</v>
      </c>
      <c r="U7" s="62">
        <v>0.17</v>
      </c>
      <c r="V7" s="62">
        <v>-3.09E-2</v>
      </c>
      <c r="W7" s="62">
        <v>-9.8799999999999999E-2</v>
      </c>
      <c r="X7" s="62">
        <v>6.0499999999999998E-2</v>
      </c>
      <c r="Y7" s="62">
        <v>0.1134</v>
      </c>
      <c r="Z7" s="62">
        <v>-1.2200000000000001E-2</v>
      </c>
      <c r="AA7" s="62">
        <v>0.16650000000000001</v>
      </c>
      <c r="AB7" s="62">
        <v>-4.5600000000000002E-2</v>
      </c>
      <c r="AC7" s="62">
        <v>-6.6299999999999998E-2</v>
      </c>
      <c r="AD7" s="62">
        <v>-2.7000000000000001E-3</v>
      </c>
      <c r="AE7" s="62">
        <v>1.21E-2</v>
      </c>
      <c r="AF7" s="62">
        <v>-7.22E-2</v>
      </c>
      <c r="AG7" s="62">
        <v>1.7600000000000001E-2</v>
      </c>
      <c r="AH7" s="62">
        <v>-3.4500000000000003E-2</v>
      </c>
      <c r="AI7" s="62">
        <v>1.04E-2</v>
      </c>
      <c r="AJ7" s="62">
        <v>-0.24729999999999999</v>
      </c>
      <c r="AK7" s="62">
        <v>0.1769</v>
      </c>
      <c r="AL7" s="62">
        <v>5.0500000000000003E-2</v>
      </c>
      <c r="AM7" s="62">
        <v>4.2999999999999997E-2</v>
      </c>
      <c r="AN7" s="62">
        <v>5.8299999999999998E-2</v>
      </c>
      <c r="AO7" s="62">
        <v>0.16439999999999999</v>
      </c>
      <c r="AP7" s="62">
        <v>0.14480000000000001</v>
      </c>
      <c r="AQ7" s="62">
        <v>0.04</v>
      </c>
      <c r="AR7" s="62">
        <v>-5.0000000000000001E-3</v>
      </c>
      <c r="AS7" s="62">
        <v>0.1885</v>
      </c>
      <c r="AT7" s="62">
        <v>-4.5400000000000003E-2</v>
      </c>
      <c r="AU7" s="62">
        <v>8.8000000000000005E-3</v>
      </c>
      <c r="AV7" s="62">
        <v>5.2999999999999999E-2</v>
      </c>
      <c r="AW7" s="62">
        <v>0.1138</v>
      </c>
      <c r="AX7" s="62">
        <v>3.2000000000000002E-3</v>
      </c>
      <c r="AY7" s="62">
        <v>6.4199999999999993E-2</v>
      </c>
      <c r="AZ7" s="62">
        <v>0.1201</v>
      </c>
      <c r="BA7" s="62">
        <v>-3.6299999999999999E-2</v>
      </c>
      <c r="BB7" s="62">
        <v>4.2099999999999999E-2</v>
      </c>
      <c r="BC7" s="62">
        <v>0.107</v>
      </c>
      <c r="BD7" s="62">
        <v>-4.1700000000000001E-2</v>
      </c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2"/>
      <c r="CD7" s="62"/>
      <c r="CE7" s="62"/>
      <c r="CF7" s="62"/>
      <c r="CG7" s="62"/>
      <c r="CH7" s="62"/>
      <c r="CI7" s="62"/>
      <c r="CJ7" s="62"/>
      <c r="CK7" s="62"/>
      <c r="CL7" s="62"/>
      <c r="CM7" s="62"/>
      <c r="CN7" s="62"/>
      <c r="CO7" s="62"/>
      <c r="CP7" s="62"/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A7" s="62"/>
      <c r="EB7" s="62"/>
      <c r="EC7" s="62"/>
      <c r="ED7" s="62"/>
      <c r="EE7" s="62"/>
      <c r="EF7" s="62"/>
      <c r="EG7" s="62"/>
      <c r="EH7" s="62"/>
      <c r="EI7" s="62"/>
      <c r="EJ7" s="62"/>
      <c r="EK7" s="62"/>
      <c r="EL7" s="62"/>
      <c r="EM7" s="62"/>
      <c r="EN7" s="62"/>
      <c r="EO7" s="62"/>
      <c r="EP7" s="62"/>
      <c r="EQ7" s="62"/>
      <c r="ER7" s="62"/>
    </row>
    <row r="8" spans="1:148">
      <c r="A8" s="104" t="s">
        <v>86</v>
      </c>
      <c r="B8" s="104" t="s">
        <v>87</v>
      </c>
      <c r="C8" s="62">
        <v>-6.83E-2</v>
      </c>
      <c r="D8" s="62">
        <v>6.9000000000000006E-2</v>
      </c>
      <c r="E8" s="62">
        <v>8.9800000000000005E-2</v>
      </c>
      <c r="F8" s="62">
        <v>-1.6000000000000001E-3</v>
      </c>
      <c r="G8" s="62">
        <v>3.5700000000000003E-2</v>
      </c>
      <c r="H8" s="62">
        <v>-0.02</v>
      </c>
      <c r="I8" s="62">
        <v>-5.4000000000000003E-3</v>
      </c>
      <c r="J8" s="62">
        <v>-5.45E-2</v>
      </c>
      <c r="K8" s="62">
        <v>-1.6899999999999998E-2</v>
      </c>
      <c r="L8" s="62">
        <v>3.3300000000000003E-2</v>
      </c>
      <c r="M8" s="62">
        <v>-4.6699999999999998E-2</v>
      </c>
      <c r="N8" s="62">
        <v>7.9699999999999993E-2</v>
      </c>
      <c r="O8" s="62">
        <v>9.9699999999999997E-2</v>
      </c>
      <c r="P8" s="62">
        <v>-0.1154</v>
      </c>
      <c r="Q8" s="62">
        <v>7.4499999999999997E-2</v>
      </c>
      <c r="R8" s="62">
        <v>-1.43E-2</v>
      </c>
      <c r="S8" s="62">
        <v>-3.5900000000000001E-2</v>
      </c>
      <c r="T8" s="62">
        <v>-7.1099999999999997E-2</v>
      </c>
      <c r="U8" s="62">
        <v>-2.46E-2</v>
      </c>
      <c r="V8" s="62">
        <v>-4.87E-2</v>
      </c>
      <c r="W8" s="62">
        <v>-5.2600000000000001E-2</v>
      </c>
      <c r="X8" s="62">
        <v>0.14119999999999999</v>
      </c>
      <c r="Y8" s="62">
        <v>0.12540000000000001</v>
      </c>
      <c r="Z8" s="62">
        <v>-2.24E-2</v>
      </c>
      <c r="AA8" s="62">
        <v>9.2600000000000002E-2</v>
      </c>
      <c r="AB8" s="62">
        <v>1.21E-2</v>
      </c>
      <c r="AC8" s="62">
        <v>-4.19E-2</v>
      </c>
      <c r="AD8" s="62">
        <v>6.4799999999999996E-2</v>
      </c>
      <c r="AE8" s="62">
        <v>-6.59E-2</v>
      </c>
      <c r="AF8" s="62">
        <v>6.08E-2</v>
      </c>
      <c r="AG8" s="62">
        <v>1.9699999999999999E-2</v>
      </c>
      <c r="AH8" s="62">
        <v>3.1800000000000002E-2</v>
      </c>
      <c r="AI8" s="62">
        <v>3.8E-3</v>
      </c>
      <c r="AJ8" s="62">
        <v>-1.3299999999999999E-2</v>
      </c>
      <c r="AK8" s="62">
        <v>3.8300000000000001E-2</v>
      </c>
      <c r="AL8" s="62">
        <v>4.99E-2</v>
      </c>
      <c r="AM8" s="62">
        <v>2.0899999999999998E-2</v>
      </c>
      <c r="AN8" s="62">
        <v>2.5899999999999999E-2</v>
      </c>
      <c r="AO8" s="62">
        <v>9.5299999999999996E-2</v>
      </c>
      <c r="AP8" s="62">
        <v>-3.9800000000000002E-2</v>
      </c>
      <c r="AQ8" s="62">
        <v>5.8999999999999997E-2</v>
      </c>
      <c r="AR8" s="62">
        <v>-3.2800000000000003E-2</v>
      </c>
      <c r="AS8" s="62">
        <v>4.1999999999999997E-3</v>
      </c>
      <c r="AT8" s="62">
        <v>8.1100000000000005E-2</v>
      </c>
      <c r="AU8" s="62">
        <v>4.9000000000000002E-2</v>
      </c>
      <c r="AV8" s="62">
        <v>-2.1700000000000001E-2</v>
      </c>
      <c r="AW8" s="62">
        <v>9.7000000000000003E-3</v>
      </c>
      <c r="AX8" s="62">
        <v>1.47E-2</v>
      </c>
      <c r="AY8" s="62">
        <v>5.8799999999999998E-2</v>
      </c>
      <c r="AZ8" s="62">
        <v>5.2699999999999997E-2</v>
      </c>
      <c r="BA8" s="62">
        <v>7.0599999999999996E-2</v>
      </c>
      <c r="BB8" s="62">
        <v>3.4000000000000002E-2</v>
      </c>
      <c r="BC8" s="62">
        <v>-2.5999999999999999E-3</v>
      </c>
      <c r="BD8" s="62">
        <v>-1.12E-2</v>
      </c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C8" s="62"/>
      <c r="ED8" s="62"/>
      <c r="EE8" s="62"/>
      <c r="EF8" s="62"/>
      <c r="EG8" s="62"/>
      <c r="EH8" s="62"/>
      <c r="EI8" s="62"/>
      <c r="EJ8" s="62"/>
      <c r="EK8" s="62"/>
      <c r="EL8" s="62"/>
      <c r="EM8" s="62"/>
      <c r="EN8" s="62"/>
      <c r="EO8" s="62"/>
      <c r="EP8" s="62"/>
      <c r="EQ8" s="62"/>
      <c r="ER8" s="62"/>
    </row>
    <row r="9" spans="1:148">
      <c r="A9" s="104" t="s">
        <v>95</v>
      </c>
      <c r="B9" s="104" t="s">
        <v>96</v>
      </c>
      <c r="C9" s="62">
        <v>-4.2099999999999999E-2</v>
      </c>
      <c r="D9" s="62">
        <v>2.5100000000000001E-2</v>
      </c>
      <c r="E9" s="62">
        <v>7.8200000000000006E-2</v>
      </c>
      <c r="F9" s="62">
        <v>-1.4800000000000001E-2</v>
      </c>
      <c r="G9" s="62">
        <v>1.4E-3</v>
      </c>
      <c r="H9" s="62">
        <v>-9.4999999999999998E-3</v>
      </c>
      <c r="I9" s="62">
        <v>5.4999999999999997E-3</v>
      </c>
      <c r="J9" s="62">
        <v>9.2200000000000004E-2</v>
      </c>
      <c r="K9" s="62">
        <v>-4.53E-2</v>
      </c>
      <c r="L9" s="62">
        <v>8.1100000000000005E-2</v>
      </c>
      <c r="M9" s="62">
        <v>-5.0799999999999998E-2</v>
      </c>
      <c r="N9" s="62">
        <v>6.2600000000000003E-2</v>
      </c>
      <c r="O9" s="62">
        <v>9.1399999999999995E-2</v>
      </c>
      <c r="P9" s="62">
        <v>-3.0499999999999999E-2</v>
      </c>
      <c r="Q9" s="62">
        <v>9.1499999999999998E-2</v>
      </c>
      <c r="R9" s="62">
        <v>2.2200000000000001E-2</v>
      </c>
      <c r="S9" s="62">
        <v>-2.06E-2</v>
      </c>
      <c r="T9" s="62">
        <v>-2.4799999999999999E-2</v>
      </c>
      <c r="U9" s="62">
        <v>2.8899999999999999E-2</v>
      </c>
      <c r="V9" s="62">
        <v>3.61E-2</v>
      </c>
      <c r="W9" s="62">
        <v>-7.3700000000000002E-2</v>
      </c>
      <c r="X9" s="62">
        <v>5.28E-2</v>
      </c>
      <c r="Y9" s="62">
        <v>6.8900000000000003E-2</v>
      </c>
      <c r="Z9" s="62">
        <v>-2.9399999999999999E-2</v>
      </c>
      <c r="AA9" s="62">
        <v>1.2699999999999999E-2</v>
      </c>
      <c r="AB9" s="62">
        <v>-1.01E-2</v>
      </c>
      <c r="AC9" s="62">
        <v>-1.8599999999999998E-2</v>
      </c>
      <c r="AD9" s="62">
        <v>5.0500000000000003E-2</v>
      </c>
      <c r="AE9" s="62">
        <v>-1.6000000000000001E-3</v>
      </c>
      <c r="AF9" s="62">
        <v>-6.8999999999999999E-3</v>
      </c>
      <c r="AG9" s="62">
        <v>1.0800000000000001E-2</v>
      </c>
      <c r="AH9" s="62">
        <v>-1.37E-2</v>
      </c>
      <c r="AI9" s="62">
        <v>1.4E-3</v>
      </c>
      <c r="AJ9" s="62">
        <v>3.0800000000000001E-2</v>
      </c>
      <c r="AK9" s="62">
        <v>2.6700000000000002E-2</v>
      </c>
      <c r="AL9" s="62">
        <v>3.0099999999999998E-2</v>
      </c>
      <c r="AM9" s="62">
        <v>-5.7000000000000002E-3</v>
      </c>
      <c r="AN9" s="62">
        <v>4.5900000000000003E-2</v>
      </c>
      <c r="AO9" s="62">
        <v>1.5100000000000001E-2</v>
      </c>
      <c r="AP9" s="62">
        <v>-3.9899999999999998E-2</v>
      </c>
      <c r="AQ9" s="62">
        <v>6.6600000000000006E-2</v>
      </c>
      <c r="AR9" s="62">
        <v>2.92E-2</v>
      </c>
      <c r="AS9" s="62">
        <v>2.0299999999999999E-2</v>
      </c>
      <c r="AT9" s="62">
        <v>2.9499999999999998E-2</v>
      </c>
      <c r="AU9" s="62">
        <v>3.5999999999999997E-2</v>
      </c>
      <c r="AV9" s="62">
        <v>3.5999999999999999E-3</v>
      </c>
      <c r="AW9" s="62">
        <v>0.1038</v>
      </c>
      <c r="AX9" s="62">
        <v>-4.53E-2</v>
      </c>
      <c r="AY9" s="62">
        <v>2.1999999999999999E-2</v>
      </c>
      <c r="AZ9" s="62">
        <v>8.1500000000000003E-2</v>
      </c>
      <c r="BA9" s="62">
        <v>1.6E-2</v>
      </c>
      <c r="BB9" s="62">
        <v>2.0899999999999998E-2</v>
      </c>
      <c r="BC9" s="62">
        <v>-8.3000000000000001E-3</v>
      </c>
      <c r="BD9" s="62">
        <v>-4.02E-2</v>
      </c>
      <c r="BE9" s="62"/>
      <c r="BF9" s="62"/>
      <c r="BG9" s="62"/>
      <c r="BH9" s="62"/>
      <c r="BI9" s="62"/>
      <c r="BJ9" s="62"/>
      <c r="BK9" s="62"/>
      <c r="BL9" s="62"/>
      <c r="BM9" s="62"/>
      <c r="BN9" s="62"/>
      <c r="BO9" s="62"/>
      <c r="BP9" s="62"/>
      <c r="BQ9" s="62"/>
      <c r="BR9" s="62"/>
      <c r="BS9" s="62"/>
      <c r="BT9" s="62"/>
      <c r="BU9" s="62"/>
      <c r="BV9" s="62"/>
      <c r="BW9" s="62"/>
      <c r="BX9" s="62"/>
      <c r="BY9" s="62"/>
      <c r="BZ9" s="62"/>
      <c r="CA9" s="62"/>
      <c r="CB9" s="62"/>
      <c r="CC9" s="62"/>
      <c r="CD9" s="62"/>
      <c r="CE9" s="62"/>
      <c r="CF9" s="62"/>
      <c r="CG9" s="62"/>
      <c r="CH9" s="62"/>
      <c r="CI9" s="62"/>
      <c r="CJ9" s="62"/>
      <c r="CK9" s="62"/>
      <c r="CL9" s="62"/>
      <c r="CM9" s="62"/>
      <c r="CN9" s="62"/>
      <c r="CO9" s="62"/>
      <c r="CP9" s="62"/>
      <c r="CQ9" s="62"/>
      <c r="CR9" s="62"/>
      <c r="CS9" s="62"/>
      <c r="CT9" s="62"/>
      <c r="CU9" s="62"/>
      <c r="CV9" s="62"/>
      <c r="CW9" s="62"/>
      <c r="CX9" s="62"/>
      <c r="CY9" s="62"/>
      <c r="CZ9" s="62"/>
      <c r="DA9" s="62"/>
      <c r="DB9" s="62"/>
      <c r="DC9" s="62"/>
      <c r="DD9" s="62"/>
      <c r="DE9" s="62"/>
      <c r="DF9" s="62"/>
      <c r="DG9" s="62"/>
      <c r="DH9" s="62"/>
      <c r="DI9" s="62"/>
      <c r="DJ9" s="62"/>
      <c r="DK9" s="62"/>
      <c r="DL9" s="62"/>
      <c r="DM9" s="62"/>
      <c r="DN9" s="62"/>
      <c r="DO9" s="62"/>
      <c r="DP9" s="62"/>
      <c r="DQ9" s="62"/>
      <c r="DR9" s="62"/>
      <c r="DS9" s="62"/>
      <c r="DT9" s="62"/>
      <c r="DU9" s="62"/>
      <c r="DV9" s="62"/>
      <c r="DW9" s="62"/>
      <c r="DX9" s="62"/>
      <c r="DY9" s="62"/>
      <c r="DZ9" s="62"/>
      <c r="EA9" s="62"/>
      <c r="EB9" s="62"/>
      <c r="EC9" s="62"/>
      <c r="ED9" s="62"/>
      <c r="EE9" s="62"/>
      <c r="EF9" s="62"/>
      <c r="EG9" s="62"/>
      <c r="EH9" s="62"/>
      <c r="EI9" s="62"/>
      <c r="EJ9" s="62"/>
      <c r="EK9" s="62"/>
      <c r="EL9" s="62"/>
      <c r="EM9" s="62"/>
      <c r="EN9" s="62"/>
      <c r="EO9" s="62"/>
      <c r="EP9" s="62"/>
      <c r="EQ9" s="62"/>
      <c r="ER9" s="62"/>
    </row>
    <row r="10" spans="1:148">
      <c r="A10" s="104" t="s">
        <v>105</v>
      </c>
      <c r="B10" s="104" t="s">
        <v>106</v>
      </c>
      <c r="C10" s="62">
        <v>-9.3100000000000002E-2</v>
      </c>
      <c r="D10" s="62">
        <v>0.10489999999999999</v>
      </c>
      <c r="E10" s="62">
        <v>8.0600000000000005E-2</v>
      </c>
      <c r="F10" s="62">
        <v>-4.7199999999999999E-2</v>
      </c>
      <c r="G10" s="62">
        <v>-1.4500000000000001E-2</v>
      </c>
      <c r="H10" s="62">
        <v>-2.63E-2</v>
      </c>
      <c r="I10" s="62">
        <v>-1.95E-2</v>
      </c>
      <c r="J10" s="62">
        <v>8.6900000000000005E-2</v>
      </c>
      <c r="K10" s="62">
        <v>-4.1799999999999997E-2</v>
      </c>
      <c r="L10" s="62">
        <v>8.5099999999999995E-2</v>
      </c>
      <c r="M10" s="62">
        <v>-6.7299999999999999E-2</v>
      </c>
      <c r="N10" s="62">
        <v>9.0200000000000002E-2</v>
      </c>
      <c r="O10" s="62">
        <v>7.3099999999999998E-2</v>
      </c>
      <c r="P10" s="62">
        <v>-0.12590000000000001</v>
      </c>
      <c r="Q10" s="62">
        <v>-9.5999999999999992E-3</v>
      </c>
      <c r="R10" s="62">
        <v>-2.0799999999999999E-2</v>
      </c>
      <c r="S10" s="62">
        <v>9.7000000000000003E-3</v>
      </c>
      <c r="T10" s="62">
        <v>-2.01E-2</v>
      </c>
      <c r="U10" s="62">
        <v>-1.43E-2</v>
      </c>
      <c r="V10" s="62">
        <v>7.6600000000000001E-2</v>
      </c>
      <c r="W10" s="62">
        <v>3.3700000000000001E-2</v>
      </c>
      <c r="X10" s="62">
        <v>8.9200000000000002E-2</v>
      </c>
      <c r="Y10" s="62">
        <v>0.12939999999999999</v>
      </c>
      <c r="Z10" s="62">
        <v>6.6E-3</v>
      </c>
      <c r="AA10" s="62">
        <v>9.01E-2</v>
      </c>
      <c r="AB10" s="62">
        <v>-2.0199999999999999E-2</v>
      </c>
      <c r="AC10" s="62">
        <v>-6.1999999999999998E-3</v>
      </c>
      <c r="AD10" s="62">
        <v>5.2400000000000002E-2</v>
      </c>
      <c r="AE10" s="62">
        <v>2.06E-2</v>
      </c>
      <c r="AF10" s="62">
        <v>2.6599999999999999E-2</v>
      </c>
      <c r="AG10" s="62">
        <v>5.9999999999999995E-4</v>
      </c>
      <c r="AH10" s="62">
        <v>4.19E-2</v>
      </c>
      <c r="AI10" s="62">
        <v>2.7099999999999999E-2</v>
      </c>
      <c r="AJ10" s="62">
        <v>2.8799999999999999E-2</v>
      </c>
      <c r="AK10" s="62">
        <v>3.4099999999999998E-2</v>
      </c>
      <c r="AL10" s="62">
        <v>-4.1599999999999998E-2</v>
      </c>
      <c r="AM10" s="62">
        <v>4.7500000000000001E-2</v>
      </c>
      <c r="AN10" s="62">
        <v>9.8199999999999996E-2</v>
      </c>
      <c r="AO10" s="62">
        <v>4.5900000000000003E-2</v>
      </c>
      <c r="AP10" s="62">
        <v>-5.3499999999999999E-2</v>
      </c>
      <c r="AQ10" s="62">
        <v>0.1133</v>
      </c>
      <c r="AR10" s="62">
        <v>1.72E-2</v>
      </c>
      <c r="AS10" s="62">
        <v>-2.7400000000000001E-2</v>
      </c>
      <c r="AT10" s="62">
        <v>7.9299999999999995E-2</v>
      </c>
      <c r="AU10" s="62">
        <v>1.0999999999999999E-2</v>
      </c>
      <c r="AV10" s="62">
        <v>-5.0900000000000001E-2</v>
      </c>
      <c r="AW10" s="62">
        <v>5.04E-2</v>
      </c>
      <c r="AX10" s="62">
        <v>-1.34E-2</v>
      </c>
      <c r="AY10" s="62">
        <v>6.9599999999999995E-2</v>
      </c>
      <c r="AZ10" s="62">
        <v>4.3400000000000001E-2</v>
      </c>
      <c r="BA10" s="62">
        <v>7.3999999999999996E-2</v>
      </c>
      <c r="BB10" s="62">
        <v>3.1899999999999998E-2</v>
      </c>
      <c r="BC10" s="62">
        <v>-1.9900000000000001E-2</v>
      </c>
      <c r="BD10" s="62">
        <v>-3.7100000000000001E-2</v>
      </c>
      <c r="BE10" s="62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2"/>
      <c r="BQ10" s="62"/>
      <c r="BR10" s="62"/>
      <c r="BS10" s="62"/>
      <c r="BT10" s="62"/>
      <c r="BU10" s="62"/>
      <c r="BV10" s="62"/>
      <c r="BW10" s="62"/>
      <c r="BX10" s="62"/>
      <c r="BY10" s="62"/>
      <c r="BZ10" s="62"/>
      <c r="CA10" s="62"/>
      <c r="CB10" s="62"/>
      <c r="CC10" s="62"/>
      <c r="CD10" s="62"/>
      <c r="CE10" s="62"/>
      <c r="CF10" s="62"/>
      <c r="CG10" s="62"/>
      <c r="CH10" s="62"/>
      <c r="CI10" s="62"/>
      <c r="CJ10" s="62"/>
      <c r="CK10" s="62"/>
      <c r="CL10" s="62"/>
      <c r="CM10" s="62"/>
      <c r="CN10" s="62"/>
      <c r="CO10" s="62"/>
      <c r="CP10" s="62"/>
      <c r="CQ10" s="62"/>
      <c r="CR10" s="62"/>
      <c r="CS10" s="62"/>
      <c r="CT10" s="62"/>
      <c r="CU10" s="62"/>
      <c r="CV10" s="62"/>
      <c r="CW10" s="62"/>
      <c r="CX10" s="62"/>
      <c r="CY10" s="62"/>
      <c r="CZ10" s="62"/>
      <c r="DA10" s="62"/>
      <c r="DB10" s="62"/>
      <c r="DC10" s="62"/>
      <c r="DD10" s="62"/>
      <c r="DE10" s="62"/>
      <c r="DF10" s="62"/>
      <c r="DG10" s="62"/>
      <c r="DH10" s="62"/>
      <c r="DI10" s="62"/>
      <c r="DJ10" s="62"/>
      <c r="DK10" s="62"/>
      <c r="DL10" s="62"/>
      <c r="DM10" s="62"/>
      <c r="DN10" s="62"/>
      <c r="DO10" s="62"/>
      <c r="DP10" s="62"/>
      <c r="DQ10" s="62"/>
      <c r="DR10" s="62"/>
      <c r="DS10" s="62"/>
      <c r="DT10" s="62"/>
      <c r="DU10" s="62"/>
      <c r="DV10" s="62"/>
      <c r="DW10" s="62"/>
      <c r="DX10" s="62"/>
      <c r="DY10" s="62"/>
      <c r="DZ10" s="62"/>
      <c r="EA10" s="62"/>
      <c r="EB10" s="62"/>
      <c r="EC10" s="62"/>
      <c r="ED10" s="62"/>
      <c r="EE10" s="62"/>
      <c r="EF10" s="62"/>
      <c r="EG10" s="62"/>
      <c r="EH10" s="62"/>
      <c r="EI10" s="62"/>
      <c r="EJ10" s="62"/>
      <c r="EK10" s="62"/>
      <c r="EL10" s="62"/>
      <c r="EM10" s="62"/>
      <c r="EN10" s="62"/>
      <c r="EO10" s="62"/>
      <c r="EP10" s="62"/>
      <c r="EQ10" s="62"/>
      <c r="ER10" s="62"/>
    </row>
    <row r="11" spans="1:148">
      <c r="A11" s="104" t="s">
        <v>113</v>
      </c>
      <c r="B11" s="104" t="s">
        <v>114</v>
      </c>
      <c r="C11" s="62">
        <v>-5.1999999999999998E-2</v>
      </c>
      <c r="D11" s="62">
        <v>6.7599999999999993E-2</v>
      </c>
      <c r="E11" s="62">
        <v>8.0299999999999996E-2</v>
      </c>
      <c r="F11" s="62">
        <v>-1.54E-2</v>
      </c>
      <c r="G11" s="62">
        <v>1.6899999999999998E-2</v>
      </c>
      <c r="H11" s="62">
        <v>-3.1699999999999999E-2</v>
      </c>
      <c r="I11" s="62">
        <v>2.5000000000000001E-3</v>
      </c>
      <c r="J11" s="62">
        <v>2.1000000000000001E-2</v>
      </c>
      <c r="K11" s="62">
        <v>-4.8399999999999999E-2</v>
      </c>
      <c r="L11" s="62">
        <v>0.13009999999999999</v>
      </c>
      <c r="M11" s="62">
        <v>-8.8999999999999999E-3</v>
      </c>
      <c r="N11" s="62">
        <v>5.0599999999999999E-2</v>
      </c>
      <c r="O11" s="62">
        <v>0.1019</v>
      </c>
      <c r="P11" s="62">
        <v>-0.11260000000000001</v>
      </c>
      <c r="Q11" s="62">
        <v>1.0800000000000001E-2</v>
      </c>
      <c r="R11" s="62">
        <v>-2.7400000000000001E-2</v>
      </c>
      <c r="S11" s="62">
        <v>-2.0299999999999999E-2</v>
      </c>
      <c r="T11" s="62">
        <v>-3.56E-2</v>
      </c>
      <c r="U11" s="62">
        <v>-7.6E-3</v>
      </c>
      <c r="V11" s="62">
        <v>5.8099999999999999E-2</v>
      </c>
      <c r="W11" s="62">
        <v>-2.24E-2</v>
      </c>
      <c r="X11" s="62">
        <v>-1.03E-2</v>
      </c>
      <c r="Y11" s="62">
        <v>0.1416</v>
      </c>
      <c r="Z11" s="62">
        <v>2.0500000000000001E-2</v>
      </c>
      <c r="AA11" s="62">
        <v>9.4600000000000004E-2</v>
      </c>
      <c r="AB11" s="62">
        <v>3.0499999999999999E-2</v>
      </c>
      <c r="AC11" s="62">
        <v>-4.3499999999999997E-2</v>
      </c>
      <c r="AD11" s="62">
        <v>2.6700000000000002E-2</v>
      </c>
      <c r="AE11" s="62">
        <v>2.8899999999999999E-2</v>
      </c>
      <c r="AF11" s="62">
        <v>-1.72E-2</v>
      </c>
      <c r="AG11" s="62">
        <v>3.04E-2</v>
      </c>
      <c r="AH11" s="62">
        <v>-5.4899999999999997E-2</v>
      </c>
      <c r="AI11" s="62">
        <v>8.6199999999999999E-2</v>
      </c>
      <c r="AJ11" s="62">
        <v>5.6899999999999999E-2</v>
      </c>
      <c r="AK11" s="62">
        <v>5.1700000000000003E-2</v>
      </c>
      <c r="AL11" s="62">
        <v>-6.0199999999999997E-2</v>
      </c>
      <c r="AM11" s="62">
        <v>4.3200000000000002E-2</v>
      </c>
      <c r="AN11" s="62">
        <v>5.11E-2</v>
      </c>
      <c r="AO11" s="62">
        <v>6.7100000000000007E-2</v>
      </c>
      <c r="AP11" s="62">
        <v>-9.2799999999999994E-2</v>
      </c>
      <c r="AQ11" s="62">
        <v>0.14929999999999999</v>
      </c>
      <c r="AR11" s="62">
        <v>-1.0800000000000001E-2</v>
      </c>
      <c r="AS11" s="62">
        <v>-1.6E-2</v>
      </c>
      <c r="AT11" s="62">
        <v>0.08</v>
      </c>
      <c r="AU11" s="62">
        <v>7.1999999999999998E-3</v>
      </c>
      <c r="AV11" s="62">
        <v>-5.0299999999999997E-2</v>
      </c>
      <c r="AW11" s="62">
        <v>0.18729999999999999</v>
      </c>
      <c r="AX11" s="62">
        <v>-2.2000000000000001E-3</v>
      </c>
      <c r="AY11" s="62">
        <v>5.6500000000000002E-2</v>
      </c>
      <c r="AZ11" s="62">
        <v>4.4499999999999998E-2</v>
      </c>
      <c r="BA11" s="62">
        <v>1.9400000000000001E-2</v>
      </c>
      <c r="BB11" s="62">
        <v>5.3100000000000001E-2</v>
      </c>
      <c r="BC11" s="62">
        <v>-1.6299999999999999E-2</v>
      </c>
      <c r="BD11" s="62">
        <v>-5.6800000000000003E-2</v>
      </c>
      <c r="BE11" s="62"/>
      <c r="BF11" s="62"/>
      <c r="BG11" s="62"/>
      <c r="BH11" s="62"/>
      <c r="BI11" s="62"/>
      <c r="BJ11" s="62"/>
      <c r="BK11" s="62"/>
      <c r="BL11" s="62"/>
      <c r="BM11" s="62"/>
      <c r="BN11" s="62"/>
      <c r="BO11" s="62"/>
      <c r="BP11" s="62"/>
      <c r="BQ11" s="62"/>
      <c r="BR11" s="62"/>
      <c r="BS11" s="62"/>
      <c r="BT11" s="62"/>
      <c r="BU11" s="62"/>
      <c r="BV11" s="62"/>
      <c r="BW11" s="62"/>
      <c r="BX11" s="62"/>
      <c r="BY11" s="62"/>
      <c r="BZ11" s="62"/>
      <c r="CA11" s="62"/>
      <c r="CB11" s="62"/>
      <c r="CC11" s="62"/>
      <c r="CD11" s="62"/>
      <c r="CE11" s="62"/>
      <c r="CF11" s="62"/>
      <c r="CG11" s="62"/>
      <c r="CH11" s="62"/>
      <c r="CI11" s="62"/>
      <c r="CJ11" s="62"/>
      <c r="CK11" s="62"/>
      <c r="CL11" s="62"/>
      <c r="CM11" s="62"/>
      <c r="CN11" s="62"/>
      <c r="CO11" s="62"/>
      <c r="CP11" s="62"/>
      <c r="CQ11" s="62"/>
      <c r="CR11" s="62"/>
      <c r="CS11" s="62"/>
      <c r="CT11" s="62"/>
      <c r="CU11" s="62"/>
      <c r="CV11" s="62"/>
      <c r="CW11" s="62"/>
      <c r="CX11" s="62"/>
      <c r="CY11" s="62"/>
      <c r="CZ11" s="62"/>
      <c r="DA11" s="62"/>
      <c r="DB11" s="62"/>
      <c r="DC11" s="62"/>
      <c r="DD11" s="62"/>
      <c r="DE11" s="62"/>
      <c r="DF11" s="62"/>
      <c r="DG11" s="62"/>
      <c r="DH11" s="62"/>
      <c r="DI11" s="62"/>
      <c r="DJ11" s="62"/>
      <c r="DK11" s="62"/>
      <c r="DL11" s="62"/>
      <c r="DM11" s="62"/>
      <c r="DN11" s="62"/>
      <c r="DO11" s="62"/>
      <c r="DP11" s="62"/>
      <c r="DQ11" s="62"/>
      <c r="DR11" s="62"/>
      <c r="DS11" s="62"/>
      <c r="DT11" s="62"/>
      <c r="DU11" s="62"/>
      <c r="DV11" s="62"/>
      <c r="DW11" s="62"/>
      <c r="DX11" s="62"/>
      <c r="DY11" s="62"/>
      <c r="DZ11" s="62"/>
      <c r="EA11" s="62"/>
      <c r="EB11" s="62"/>
      <c r="EC11" s="62"/>
      <c r="ED11" s="62"/>
      <c r="EE11" s="62"/>
      <c r="EF11" s="62"/>
      <c r="EG11" s="62"/>
      <c r="EH11" s="62"/>
      <c r="EI11" s="62"/>
      <c r="EJ11" s="62"/>
      <c r="EK11" s="62"/>
      <c r="EL11" s="62"/>
      <c r="EM11" s="62"/>
      <c r="EN11" s="62"/>
      <c r="EO11" s="62"/>
      <c r="EP11" s="62"/>
      <c r="EQ11" s="62"/>
      <c r="ER11" s="62"/>
    </row>
    <row r="12" spans="1:148">
      <c r="A12" s="104" t="s">
        <v>121</v>
      </c>
      <c r="B12" s="104" t="s">
        <v>122</v>
      </c>
      <c r="C12" s="62">
        <v>-1.1900000000000001E-2</v>
      </c>
      <c r="D12" s="62">
        <v>0.1036</v>
      </c>
      <c r="E12" s="62">
        <v>9.7100000000000006E-2</v>
      </c>
      <c r="F12" s="62">
        <v>-2.1999999999999999E-2</v>
      </c>
      <c r="G12" s="62">
        <v>6.8900000000000003E-2</v>
      </c>
      <c r="H12" s="62">
        <v>5.4000000000000003E-3</v>
      </c>
      <c r="I12" s="62">
        <v>-3.3E-3</v>
      </c>
      <c r="J12" s="62">
        <v>2.4899999999999999E-2</v>
      </c>
      <c r="K12" s="62">
        <v>6.4899999999999999E-2</v>
      </c>
      <c r="L12" s="62">
        <v>5.0700000000000002E-2</v>
      </c>
      <c r="M12" s="62">
        <v>-5.9400000000000001E-2</v>
      </c>
      <c r="N12" s="62">
        <v>5.0799999999999998E-2</v>
      </c>
      <c r="O12" s="62">
        <v>-2.7000000000000001E-3</v>
      </c>
      <c r="P12" s="62">
        <v>-4.58E-2</v>
      </c>
      <c r="Q12" s="62">
        <v>0.17150000000000001</v>
      </c>
      <c r="R12" s="62">
        <v>-0.1285</v>
      </c>
      <c r="S12" s="62">
        <v>-4.3E-3</v>
      </c>
      <c r="T12" s="62">
        <v>-0.1018</v>
      </c>
      <c r="U12" s="62">
        <v>-4.2000000000000003E-2</v>
      </c>
      <c r="V12" s="62">
        <v>3.8E-3</v>
      </c>
      <c r="W12" s="62">
        <v>-4.24E-2</v>
      </c>
      <c r="X12" s="62">
        <v>8.3500000000000005E-2</v>
      </c>
      <c r="Y12" s="62">
        <v>0.1152</v>
      </c>
      <c r="Z12" s="62">
        <v>-1.9199999999999998E-2</v>
      </c>
      <c r="AA12" s="62">
        <v>7.7299999999999994E-2</v>
      </c>
      <c r="AB12" s="62">
        <v>4.5199999999999997E-2</v>
      </c>
      <c r="AC12" s="62">
        <v>-1.7600000000000001E-2</v>
      </c>
      <c r="AD12" s="62">
        <v>2.7199999999999998E-2</v>
      </c>
      <c r="AE12" s="62">
        <v>-6.9999999999999999E-4</v>
      </c>
      <c r="AF12" s="62">
        <v>5.11E-2</v>
      </c>
      <c r="AG12" s="62">
        <v>4.0800000000000003E-2</v>
      </c>
      <c r="AH12" s="62">
        <v>-1.29E-2</v>
      </c>
      <c r="AI12" s="62">
        <v>1.23E-2</v>
      </c>
      <c r="AJ12" s="62">
        <v>-3.2000000000000001E-2</v>
      </c>
      <c r="AK12" s="62">
        <v>1.3899999999999999E-2</v>
      </c>
      <c r="AL12" s="62">
        <v>5.3E-3</v>
      </c>
      <c r="AM12" s="62">
        <v>8.3000000000000004E-2</v>
      </c>
      <c r="AN12" s="62">
        <v>5.9400000000000001E-2</v>
      </c>
      <c r="AO12" s="62">
        <v>7.0300000000000001E-2</v>
      </c>
      <c r="AP12" s="62">
        <v>-2.3900000000000001E-2</v>
      </c>
      <c r="AQ12" s="62">
        <v>8.6499999999999994E-2</v>
      </c>
      <c r="AR12" s="62">
        <v>-1.3100000000000001E-2</v>
      </c>
      <c r="AS12" s="62">
        <v>2.75E-2</v>
      </c>
      <c r="AT12" s="62">
        <v>3.9699999999999999E-2</v>
      </c>
      <c r="AU12" s="62">
        <v>4.2999999999999997E-2</v>
      </c>
      <c r="AV12" s="62">
        <v>-1.54E-2</v>
      </c>
      <c r="AW12" s="62">
        <v>5.9900000000000002E-2</v>
      </c>
      <c r="AX12" s="62">
        <v>7.0000000000000001E-3</v>
      </c>
      <c r="AY12" s="62">
        <v>0.1232</v>
      </c>
      <c r="AZ12" s="62">
        <v>3.6200000000000003E-2</v>
      </c>
      <c r="BA12" s="62">
        <v>2.0199999999999999E-2</v>
      </c>
      <c r="BB12" s="62">
        <v>-7.4000000000000003E-3</v>
      </c>
      <c r="BC12" s="62">
        <v>3.9899999999999998E-2</v>
      </c>
      <c r="BD12" s="62">
        <v>-5.74E-2</v>
      </c>
      <c r="BE12" s="62"/>
      <c r="BF12" s="62"/>
      <c r="BG12" s="62"/>
      <c r="BH12" s="62"/>
      <c r="BI12" s="62"/>
      <c r="BJ12" s="62"/>
      <c r="BK12" s="62"/>
      <c r="BL12" s="62"/>
      <c r="BM12" s="62"/>
      <c r="BN12" s="62"/>
      <c r="BO12" s="62"/>
      <c r="BP12" s="62"/>
      <c r="BQ12" s="62"/>
      <c r="BR12" s="62"/>
      <c r="BS12" s="62"/>
      <c r="BT12" s="62"/>
      <c r="BU12" s="62"/>
      <c r="BV12" s="62"/>
      <c r="BW12" s="62"/>
      <c r="BX12" s="62"/>
      <c r="BY12" s="62"/>
      <c r="BZ12" s="62"/>
      <c r="CA12" s="62"/>
      <c r="CB12" s="62"/>
      <c r="CC12" s="62"/>
      <c r="CD12" s="62"/>
      <c r="CE12" s="62"/>
      <c r="CF12" s="62"/>
      <c r="CG12" s="62"/>
      <c r="CH12" s="62"/>
      <c r="CI12" s="62"/>
      <c r="CJ12" s="62"/>
      <c r="CK12" s="62"/>
      <c r="CL12" s="62"/>
      <c r="CM12" s="62"/>
      <c r="CN12" s="62"/>
      <c r="CO12" s="62"/>
      <c r="CP12" s="62"/>
      <c r="CQ12" s="62"/>
      <c r="CR12" s="62"/>
      <c r="CS12" s="62"/>
      <c r="CT12" s="62"/>
      <c r="CU12" s="62"/>
      <c r="CV12" s="62"/>
      <c r="CW12" s="62"/>
      <c r="CX12" s="62"/>
      <c r="CY12" s="62"/>
      <c r="CZ12" s="62"/>
      <c r="DA12" s="62"/>
      <c r="DB12" s="62"/>
      <c r="DC12" s="62"/>
      <c r="DD12" s="62"/>
      <c r="DE12" s="62"/>
      <c r="DF12" s="62"/>
      <c r="DG12" s="62"/>
      <c r="DH12" s="62"/>
      <c r="DI12" s="62"/>
      <c r="DJ12" s="62"/>
      <c r="DK12" s="62"/>
      <c r="DL12" s="62"/>
      <c r="DM12" s="62"/>
      <c r="DN12" s="62"/>
      <c r="DO12" s="62"/>
      <c r="DP12" s="62"/>
      <c r="DQ12" s="62"/>
      <c r="DR12" s="62"/>
      <c r="DS12" s="62"/>
      <c r="DT12" s="62"/>
      <c r="DU12" s="62"/>
      <c r="DV12" s="62"/>
      <c r="DW12" s="62"/>
      <c r="DX12" s="62"/>
      <c r="DY12" s="62"/>
      <c r="DZ12" s="62"/>
      <c r="EA12" s="62"/>
      <c r="EB12" s="62"/>
      <c r="EC12" s="62"/>
      <c r="ED12" s="62"/>
      <c r="EE12" s="62"/>
      <c r="EF12" s="62"/>
      <c r="EG12" s="62"/>
      <c r="EH12" s="62"/>
      <c r="EI12" s="62"/>
      <c r="EJ12" s="62"/>
      <c r="EK12" s="62"/>
      <c r="EL12" s="62"/>
      <c r="EM12" s="62"/>
      <c r="EN12" s="62"/>
      <c r="EO12" s="62"/>
      <c r="EP12" s="62"/>
      <c r="EQ12" s="62"/>
      <c r="ER12" s="62"/>
    </row>
    <row r="13" spans="1:148">
      <c r="A13" s="104" t="s">
        <v>125</v>
      </c>
      <c r="B13" s="104" t="s">
        <v>126</v>
      </c>
      <c r="C13" s="62">
        <v>3.6999999999999998E-2</v>
      </c>
      <c r="D13" s="62">
        <v>7.6399999999999996E-2</v>
      </c>
      <c r="E13" s="62">
        <v>3.0599999999999999E-2</v>
      </c>
      <c r="F13" s="62">
        <v>-1.7100000000000001E-2</v>
      </c>
      <c r="G13" s="62">
        <v>4.6300000000000001E-2</v>
      </c>
      <c r="H13" s="62">
        <v>-2.7E-2</v>
      </c>
      <c r="I13" s="62">
        <v>7.6499999999999999E-2</v>
      </c>
      <c r="J13" s="62">
        <v>1.6500000000000001E-2</v>
      </c>
      <c r="K13" s="62">
        <v>-1.78E-2</v>
      </c>
      <c r="L13" s="62">
        <v>0.13370000000000001</v>
      </c>
      <c r="M13" s="62">
        <v>-2.6800000000000001E-2</v>
      </c>
      <c r="N13" s="62">
        <v>3.6400000000000002E-2</v>
      </c>
      <c r="O13" s="62">
        <v>3.27E-2</v>
      </c>
      <c r="P13" s="62">
        <v>6.9999999999999999E-4</v>
      </c>
      <c r="Q13" s="62">
        <v>8.2500000000000004E-2</v>
      </c>
      <c r="R13" s="62">
        <v>-5.6800000000000003E-2</v>
      </c>
      <c r="S13" s="62">
        <v>7.6399999999999996E-2</v>
      </c>
      <c r="T13" s="62">
        <v>-0.1226</v>
      </c>
      <c r="U13" s="62">
        <v>3.5999999999999997E-2</v>
      </c>
      <c r="V13" s="62">
        <v>-6.7999999999999996E-3</v>
      </c>
      <c r="W13" s="62">
        <v>-5.1200000000000002E-2</v>
      </c>
      <c r="X13" s="62">
        <v>6.83E-2</v>
      </c>
      <c r="Y13" s="62">
        <v>9.3200000000000005E-2</v>
      </c>
      <c r="Z13" s="62">
        <v>-7.3000000000000001E-3</v>
      </c>
      <c r="AA13" s="62">
        <v>0.1192</v>
      </c>
      <c r="AB13" s="62">
        <v>5.4899999999999997E-2</v>
      </c>
      <c r="AC13" s="62">
        <v>-5.5899999999999998E-2</v>
      </c>
      <c r="AD13" s="62">
        <v>-2.9499999999999998E-2</v>
      </c>
      <c r="AE13" s="62">
        <v>-3.4200000000000001E-2</v>
      </c>
      <c r="AF13" s="62">
        <v>4.5100000000000001E-2</v>
      </c>
      <c r="AG13" s="62">
        <v>8.72E-2</v>
      </c>
      <c r="AH13" s="62">
        <v>0.21929999999999999</v>
      </c>
      <c r="AI13" s="62">
        <v>-4.48E-2</v>
      </c>
      <c r="AJ13" s="62">
        <v>-5.9499999999999997E-2</v>
      </c>
      <c r="AK13" s="62">
        <v>0.17180000000000001</v>
      </c>
      <c r="AL13" s="62">
        <v>8.7400000000000005E-2</v>
      </c>
      <c r="AM13" s="62">
        <v>-8.8000000000000005E-3</v>
      </c>
      <c r="AN13" s="62">
        <v>-5.2200000000000003E-2</v>
      </c>
      <c r="AO13" s="62">
        <v>7.9500000000000001E-2</v>
      </c>
      <c r="AP13" s="62">
        <v>-0.10879999999999999</v>
      </c>
      <c r="AQ13" s="62">
        <v>0.1741</v>
      </c>
      <c r="AR13" s="62">
        <v>-5.5199999999999999E-2</v>
      </c>
      <c r="AS13" s="62">
        <v>1.9699999999999999E-2</v>
      </c>
      <c r="AT13" s="62">
        <v>-1.3899999999999999E-2</v>
      </c>
      <c r="AU13" s="62">
        <v>2.0999999999999999E-3</v>
      </c>
      <c r="AV13" s="62">
        <v>2.01E-2</v>
      </c>
      <c r="AW13" s="62">
        <v>8.3199999999999996E-2</v>
      </c>
      <c r="AX13" s="62">
        <v>-3.6299999999999999E-2</v>
      </c>
      <c r="AY13" s="62">
        <v>0.15959999999999999</v>
      </c>
      <c r="AZ13" s="62">
        <v>-3.5900000000000001E-2</v>
      </c>
      <c r="BA13" s="62">
        <v>-0.14729999999999999</v>
      </c>
      <c r="BB13" s="62">
        <v>-2.1100000000000001E-2</v>
      </c>
      <c r="BC13" s="62">
        <v>5.2900000000000003E-2</v>
      </c>
      <c r="BD13" s="62">
        <v>2.41E-2</v>
      </c>
      <c r="BE13" s="62"/>
      <c r="BF13" s="62"/>
      <c r="BG13" s="62"/>
      <c r="BH13" s="62"/>
      <c r="BI13" s="62"/>
      <c r="BJ13" s="62"/>
      <c r="BK13" s="62"/>
      <c r="BL13" s="62"/>
      <c r="BM13" s="62"/>
      <c r="BN13" s="62"/>
      <c r="BO13" s="62"/>
      <c r="BP13" s="62"/>
      <c r="BQ13" s="62"/>
      <c r="BR13" s="62"/>
      <c r="BS13" s="62"/>
      <c r="BT13" s="62"/>
      <c r="BU13" s="62"/>
      <c r="BV13" s="62"/>
      <c r="BW13" s="62"/>
      <c r="BX13" s="62"/>
      <c r="BY13" s="62"/>
      <c r="BZ13" s="62"/>
      <c r="CA13" s="62"/>
      <c r="CB13" s="62"/>
      <c r="CC13" s="62"/>
      <c r="CD13" s="62"/>
      <c r="CE13" s="62"/>
      <c r="CF13" s="62"/>
      <c r="CG13" s="62"/>
      <c r="CH13" s="62"/>
      <c r="CI13" s="62"/>
      <c r="CJ13" s="62"/>
      <c r="CK13" s="62"/>
      <c r="CL13" s="62"/>
      <c r="CM13" s="62"/>
      <c r="CN13" s="62"/>
      <c r="CO13" s="62"/>
      <c r="CP13" s="62"/>
      <c r="CQ13" s="62"/>
      <c r="CR13" s="62"/>
      <c r="CS13" s="62"/>
      <c r="CT13" s="62"/>
      <c r="CU13" s="62"/>
      <c r="CV13" s="62"/>
      <c r="CW13" s="62"/>
      <c r="CX13" s="62"/>
      <c r="CY13" s="62"/>
      <c r="CZ13" s="62"/>
      <c r="DA13" s="62"/>
      <c r="DB13" s="62"/>
      <c r="DC13" s="62"/>
      <c r="DD13" s="62"/>
      <c r="DE13" s="62"/>
      <c r="DF13" s="62"/>
      <c r="DG13" s="62"/>
      <c r="DH13" s="62"/>
      <c r="DI13" s="62"/>
      <c r="DJ13" s="62"/>
      <c r="DK13" s="62"/>
      <c r="DL13" s="62"/>
      <c r="DM13" s="62"/>
      <c r="DN13" s="62"/>
      <c r="DO13" s="62"/>
      <c r="DP13" s="62"/>
      <c r="DQ13" s="62"/>
      <c r="DR13" s="62"/>
      <c r="DS13" s="62"/>
      <c r="DT13" s="62"/>
      <c r="DU13" s="62"/>
      <c r="DV13" s="62"/>
      <c r="DW13" s="62"/>
      <c r="DX13" s="62"/>
      <c r="DY13" s="62"/>
      <c r="DZ13" s="62"/>
      <c r="EA13" s="62"/>
      <c r="EB13" s="62"/>
      <c r="EC13" s="62"/>
      <c r="ED13" s="62"/>
      <c r="EE13" s="62"/>
      <c r="EF13" s="62"/>
      <c r="EG13" s="62"/>
      <c r="EH13" s="62"/>
      <c r="EI13" s="62"/>
      <c r="EJ13" s="62"/>
      <c r="EK13" s="62"/>
      <c r="EL13" s="62"/>
      <c r="EM13" s="62"/>
      <c r="EN13" s="62"/>
      <c r="EO13" s="62"/>
      <c r="EP13" s="62"/>
      <c r="EQ13" s="62"/>
      <c r="ER13" s="62"/>
    </row>
    <row r="14" spans="1:148">
      <c r="A14" s="104" t="s">
        <v>131</v>
      </c>
      <c r="B14" s="104" t="s">
        <v>132</v>
      </c>
      <c r="C14" s="62">
        <v>-2.4400000000000002E-2</v>
      </c>
      <c r="D14" s="62">
        <v>0.13150000000000001</v>
      </c>
      <c r="E14" s="62">
        <v>-0.26590000000000003</v>
      </c>
      <c r="F14" s="62">
        <v>5.1200000000000002E-2</v>
      </c>
      <c r="G14" s="62">
        <v>3.5700000000000003E-2</v>
      </c>
      <c r="H14" s="62">
        <v>5.3199999999999997E-2</v>
      </c>
      <c r="I14" s="62">
        <v>-5.4300000000000001E-2</v>
      </c>
      <c r="J14" s="62">
        <v>5.8900000000000001E-2</v>
      </c>
      <c r="K14" s="62">
        <v>-6.4699999999999994E-2</v>
      </c>
      <c r="L14" s="62">
        <v>-2.93E-2</v>
      </c>
      <c r="M14" s="62">
        <v>-9.3700000000000006E-2</v>
      </c>
      <c r="N14" s="62">
        <v>8.0399999999999999E-2</v>
      </c>
      <c r="O14" s="62">
        <v>4.9700000000000001E-2</v>
      </c>
      <c r="P14" s="62">
        <v>-9.1499999999999998E-2</v>
      </c>
      <c r="Q14" s="62">
        <v>0.2021</v>
      </c>
      <c r="R14" s="62">
        <v>8.2000000000000007E-3</v>
      </c>
      <c r="S14" s="62">
        <v>-7.7799999999999994E-2</v>
      </c>
      <c r="T14" s="62">
        <v>1.8499999999999999E-2</v>
      </c>
      <c r="U14" s="62">
        <v>7.6600000000000001E-2</v>
      </c>
      <c r="V14" s="62">
        <v>-1.4800000000000001E-2</v>
      </c>
      <c r="W14" s="62">
        <v>-7.4300000000000005E-2</v>
      </c>
      <c r="X14" s="62">
        <v>1.2E-2</v>
      </c>
      <c r="Y14" s="62">
        <v>8.8200000000000001E-2</v>
      </c>
      <c r="Z14" s="62">
        <v>-0.156</v>
      </c>
      <c r="AA14" s="62">
        <v>4.24E-2</v>
      </c>
      <c r="AB14" s="62">
        <v>9.1999999999999998E-3</v>
      </c>
      <c r="AC14" s="62">
        <v>5.4199999999999998E-2</v>
      </c>
      <c r="AD14" s="62">
        <v>7.46E-2</v>
      </c>
      <c r="AE14" s="62">
        <v>4.6399999999999997E-2</v>
      </c>
      <c r="AF14" s="62">
        <v>-2.1299999999999999E-2</v>
      </c>
      <c r="AG14" s="62">
        <v>1.4500000000000001E-2</v>
      </c>
      <c r="AH14" s="62">
        <v>-2.92E-2</v>
      </c>
      <c r="AI14" s="62">
        <v>-5.4999999999999997E-3</v>
      </c>
      <c r="AJ14" s="62">
        <v>1.1000000000000001E-3</v>
      </c>
      <c r="AK14" s="62">
        <v>8.5099999999999995E-2</v>
      </c>
      <c r="AL14" s="62">
        <v>3.6600000000000001E-2</v>
      </c>
      <c r="AM14" s="62">
        <v>-2.0199999999999999E-2</v>
      </c>
      <c r="AN14" s="62">
        <v>-1.06E-2</v>
      </c>
      <c r="AO14" s="62">
        <v>7.0199999999999999E-2</v>
      </c>
      <c r="AP14" s="62">
        <v>-5.8299999999999998E-2</v>
      </c>
      <c r="AQ14" s="62">
        <v>3.7900000000000003E-2</v>
      </c>
      <c r="AR14" s="62">
        <v>3.1300000000000001E-2</v>
      </c>
      <c r="AS14" s="62">
        <v>1.4200000000000001E-2</v>
      </c>
      <c r="AT14" s="62">
        <v>8.6499999999999994E-2</v>
      </c>
      <c r="AU14" s="62">
        <v>9.5999999999999992E-3</v>
      </c>
      <c r="AV14" s="62">
        <v>1.3299999999999999E-2</v>
      </c>
      <c r="AW14" s="62">
        <v>0.09</v>
      </c>
      <c r="AX14" s="62">
        <v>6.0000000000000001E-3</v>
      </c>
      <c r="AY14" s="62">
        <v>5.3699999999999998E-2</v>
      </c>
      <c r="AZ14" s="62">
        <v>-2.8E-3</v>
      </c>
      <c r="BA14" s="62">
        <v>-4.6199999999999998E-2</v>
      </c>
      <c r="BB14" s="62">
        <v>6.6E-3</v>
      </c>
      <c r="BC14" s="62">
        <v>-2.1299999999999999E-2</v>
      </c>
      <c r="BD14" s="62">
        <v>-7.2800000000000004E-2</v>
      </c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  <c r="DR14" s="62"/>
      <c r="DS14" s="62"/>
      <c r="DT14" s="62"/>
      <c r="DU14" s="62"/>
      <c r="DV14" s="62"/>
      <c r="DW14" s="62"/>
      <c r="DX14" s="62"/>
      <c r="DY14" s="62"/>
      <c r="DZ14" s="62"/>
      <c r="EA14" s="62"/>
      <c r="EB14" s="62"/>
      <c r="EC14" s="62"/>
      <c r="ED14" s="62"/>
      <c r="EE14" s="62"/>
      <c r="EF14" s="62"/>
      <c r="EG14" s="62"/>
      <c r="EH14" s="62"/>
      <c r="EI14" s="62"/>
      <c r="EJ14" s="62"/>
      <c r="EK14" s="62"/>
      <c r="EL14" s="62"/>
      <c r="EM14" s="62"/>
      <c r="EN14" s="62"/>
      <c r="EO14" s="62"/>
      <c r="EP14" s="62"/>
      <c r="EQ14" s="62"/>
      <c r="ER14" s="62"/>
    </row>
    <row r="15" spans="1:148">
      <c r="A15" s="104" t="s">
        <v>137</v>
      </c>
      <c r="B15" s="104" t="s">
        <v>138</v>
      </c>
      <c r="C15" s="62">
        <v>-4.6699999999999998E-2</v>
      </c>
      <c r="D15" s="62">
        <v>1.9599999999999999E-2</v>
      </c>
      <c r="E15" s="62">
        <v>4.5100000000000001E-2</v>
      </c>
      <c r="F15" s="62">
        <v>8.8000000000000005E-3</v>
      </c>
      <c r="G15" s="62">
        <v>-4.2099999999999999E-2</v>
      </c>
      <c r="H15" s="62">
        <v>9.9400000000000002E-2</v>
      </c>
      <c r="I15" s="62">
        <v>-4.2500000000000003E-2</v>
      </c>
      <c r="J15" s="62">
        <v>3.6900000000000002E-2</v>
      </c>
      <c r="K15" s="62">
        <v>-3.8699999999999998E-2</v>
      </c>
      <c r="L15" s="62">
        <v>2.3900000000000001E-2</v>
      </c>
      <c r="M15" s="62">
        <v>-3.3399999999999999E-2</v>
      </c>
      <c r="N15" s="62">
        <v>5.8999999999999997E-2</v>
      </c>
      <c r="O15" s="62">
        <v>7.3099999999999998E-2</v>
      </c>
      <c r="P15" s="62">
        <v>-4.24E-2</v>
      </c>
      <c r="Q15" s="62">
        <v>7.8399999999999997E-2</v>
      </c>
      <c r="R15" s="62">
        <v>2.0999999999999999E-3</v>
      </c>
      <c r="S15" s="62">
        <v>-2.2100000000000002E-2</v>
      </c>
      <c r="T15" s="62">
        <v>1.7899999999999999E-2</v>
      </c>
      <c r="U15" s="62">
        <v>6.8699999999999997E-2</v>
      </c>
      <c r="V15" s="62">
        <v>-1.29E-2</v>
      </c>
      <c r="W15" s="62">
        <v>-7.4000000000000003E-3</v>
      </c>
      <c r="X15" s="62">
        <v>-1.4999999999999999E-2</v>
      </c>
      <c r="Y15" s="62">
        <v>7.2400000000000006E-2</v>
      </c>
      <c r="Z15" s="62">
        <v>-8.4500000000000006E-2</v>
      </c>
      <c r="AA15" s="62">
        <v>1.7399999999999999E-2</v>
      </c>
      <c r="AB15" s="62">
        <v>2.7000000000000001E-3</v>
      </c>
      <c r="AC15" s="62">
        <v>8.8400000000000006E-2</v>
      </c>
      <c r="AD15" s="62">
        <v>-3.3500000000000002E-2</v>
      </c>
      <c r="AE15" s="62">
        <v>-4.7800000000000002E-2</v>
      </c>
      <c r="AF15" s="62">
        <v>4.65E-2</v>
      </c>
      <c r="AG15" s="62">
        <v>3.0200000000000001E-2</v>
      </c>
      <c r="AH15" s="62">
        <v>-5.8000000000000003E-2</v>
      </c>
      <c r="AI15" s="62">
        <v>-4.8999999999999998E-3</v>
      </c>
      <c r="AJ15" s="62">
        <v>-4.9599999999999998E-2</v>
      </c>
      <c r="AK15" s="62">
        <v>0.1229</v>
      </c>
      <c r="AL15" s="62">
        <v>7.1199999999999999E-2</v>
      </c>
      <c r="AM15" s="62">
        <v>-1.3899999999999999E-2</v>
      </c>
      <c r="AN15" s="62">
        <v>5.2699999999999997E-2</v>
      </c>
      <c r="AO15" s="62">
        <v>-2.1999999999999999E-2</v>
      </c>
      <c r="AP15" s="62">
        <v>-4.5900000000000003E-2</v>
      </c>
      <c r="AQ15" s="62">
        <v>3.5000000000000003E-2</v>
      </c>
      <c r="AR15" s="62">
        <v>3.7699999999999997E-2</v>
      </c>
      <c r="AS15" s="62">
        <v>-6.1000000000000004E-3</v>
      </c>
      <c r="AT15" s="62">
        <v>7.3599999999999999E-2</v>
      </c>
      <c r="AU15" s="62">
        <v>3.9E-2</v>
      </c>
      <c r="AV15" s="62">
        <v>1.3299999999999999E-2</v>
      </c>
      <c r="AW15" s="62">
        <v>3.7999999999999999E-2</v>
      </c>
      <c r="AX15" s="62">
        <v>4.1000000000000003E-3</v>
      </c>
      <c r="AY15" s="62">
        <v>7.0599999999999996E-2</v>
      </c>
      <c r="AZ15" s="62">
        <v>5.4600000000000003E-2</v>
      </c>
      <c r="BA15" s="62">
        <v>8.8800000000000004E-2</v>
      </c>
      <c r="BB15" s="62">
        <v>3.5099999999999999E-2</v>
      </c>
      <c r="BC15" s="62">
        <v>1.72E-2</v>
      </c>
      <c r="BD15" s="62">
        <v>-2.47E-2</v>
      </c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2"/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2"/>
      <c r="CD15" s="62"/>
      <c r="CE15" s="62"/>
      <c r="CF15" s="62"/>
      <c r="CG15" s="62"/>
      <c r="CH15" s="62"/>
      <c r="CI15" s="62"/>
      <c r="CJ15" s="62"/>
      <c r="CK15" s="62"/>
      <c r="CL15" s="62"/>
      <c r="CM15" s="62"/>
      <c r="CN15" s="62"/>
      <c r="CO15" s="62"/>
      <c r="CP15" s="62"/>
      <c r="CQ15" s="62"/>
      <c r="CR15" s="62"/>
      <c r="CS15" s="62"/>
      <c r="CT15" s="62"/>
      <c r="CU15" s="62"/>
      <c r="CV15" s="62"/>
      <c r="CW15" s="62"/>
      <c r="CX15" s="62"/>
      <c r="CY15" s="62"/>
      <c r="CZ15" s="62"/>
      <c r="DA15" s="62"/>
      <c r="DB15" s="62"/>
      <c r="DC15" s="62"/>
      <c r="DD15" s="62"/>
      <c r="DE15" s="62"/>
      <c r="DF15" s="62"/>
      <c r="DG15" s="62"/>
      <c r="DH15" s="62"/>
      <c r="DI15" s="62"/>
      <c r="DJ15" s="62"/>
      <c r="DK15" s="62"/>
      <c r="DL15" s="62"/>
      <c r="DM15" s="62"/>
      <c r="DN15" s="62"/>
      <c r="DO15" s="62"/>
      <c r="DP15" s="62"/>
      <c r="DQ15" s="62"/>
      <c r="DR15" s="62"/>
      <c r="DS15" s="62"/>
      <c r="DT15" s="62"/>
      <c r="DU15" s="62"/>
      <c r="DV15" s="62"/>
      <c r="DW15" s="62"/>
      <c r="DX15" s="62"/>
      <c r="DY15" s="62"/>
      <c r="DZ15" s="62"/>
      <c r="EA15" s="62"/>
      <c r="EB15" s="62"/>
      <c r="EC15" s="62"/>
      <c r="ED15" s="62"/>
      <c r="EE15" s="62"/>
      <c r="EF15" s="62"/>
      <c r="EG15" s="62"/>
      <c r="EH15" s="62"/>
      <c r="EI15" s="62"/>
      <c r="EJ15" s="62"/>
      <c r="EK15" s="62"/>
      <c r="EL15" s="62"/>
      <c r="EM15" s="62"/>
      <c r="EN15" s="62"/>
      <c r="EO15" s="62"/>
      <c r="EP15" s="62"/>
      <c r="EQ15" s="62"/>
      <c r="ER15" s="62"/>
    </row>
    <row r="16" spans="1:148">
      <c r="A16" s="104" t="s">
        <v>142</v>
      </c>
      <c r="B16" s="104" t="s">
        <v>143</v>
      </c>
      <c r="C16" s="62">
        <v>-6.5299999999999997E-2</v>
      </c>
      <c r="D16" s="62">
        <v>-9.1300000000000006E-2</v>
      </c>
      <c r="E16" s="62">
        <v>0.1177</v>
      </c>
      <c r="F16" s="62">
        <v>9.4799999999999995E-2</v>
      </c>
      <c r="G16" s="62">
        <v>-2.0400000000000001E-2</v>
      </c>
      <c r="H16" s="62">
        <v>4.0300000000000002E-2</v>
      </c>
      <c r="I16" s="62">
        <v>0.14430000000000001</v>
      </c>
      <c r="J16" s="62">
        <v>5.1000000000000004E-3</v>
      </c>
      <c r="K16" s="62">
        <v>-3.0800000000000001E-2</v>
      </c>
      <c r="L16" s="62">
        <v>9.6500000000000002E-2</v>
      </c>
      <c r="M16" s="62">
        <v>-5.9999999999999995E-4</v>
      </c>
      <c r="N16" s="62">
        <v>8.9300000000000004E-2</v>
      </c>
      <c r="O16" s="62">
        <v>-0.14249999999999999</v>
      </c>
      <c r="P16" s="62">
        <v>-5.0099999999999999E-2</v>
      </c>
      <c r="Q16" s="62">
        <v>-1.8E-3</v>
      </c>
      <c r="R16" s="62">
        <v>-4.8500000000000001E-2</v>
      </c>
      <c r="S16" s="62">
        <v>-6.1800000000000001E-2</v>
      </c>
      <c r="T16" s="62">
        <v>-9.3799999999999994E-2</v>
      </c>
      <c r="U16" s="62">
        <v>0.2225</v>
      </c>
      <c r="V16" s="62">
        <v>-0.1123</v>
      </c>
      <c r="W16" s="62">
        <v>-2.5000000000000001E-3</v>
      </c>
      <c r="X16" s="62">
        <v>6.3600000000000004E-2</v>
      </c>
      <c r="Y16" s="62">
        <v>4.53E-2</v>
      </c>
      <c r="Z16" s="62">
        <v>-5.5399999999999998E-2</v>
      </c>
      <c r="AA16" s="62">
        <v>5.96E-2</v>
      </c>
      <c r="AB16" s="62">
        <v>-4.48E-2</v>
      </c>
      <c r="AC16" s="62">
        <v>-5.57E-2</v>
      </c>
      <c r="AD16" s="62">
        <v>0.06</v>
      </c>
      <c r="AE16" s="62">
        <v>2.9399999999999999E-2</v>
      </c>
      <c r="AF16" s="62">
        <v>7.6899999999999996E-2</v>
      </c>
      <c r="AG16" s="62">
        <v>0</v>
      </c>
      <c r="AH16" s="62">
        <v>-8.2000000000000003E-2</v>
      </c>
      <c r="AI16" s="62">
        <v>-3.7699999999999997E-2</v>
      </c>
      <c r="AJ16" s="62">
        <v>-7.85E-2</v>
      </c>
      <c r="AK16" s="62">
        <v>0.1757</v>
      </c>
      <c r="AL16" s="62">
        <v>9.8000000000000004E-2</v>
      </c>
      <c r="AM16" s="62">
        <v>5.0900000000000001E-2</v>
      </c>
      <c r="AN16" s="62">
        <v>2.3599999999999999E-2</v>
      </c>
      <c r="AO16" s="62">
        <v>2.1299999999999999E-2</v>
      </c>
      <c r="AP16" s="62">
        <v>-5.9400000000000001E-2</v>
      </c>
      <c r="AQ16" s="62">
        <v>0.1142</v>
      </c>
      <c r="AR16" s="62">
        <v>3.61E-2</v>
      </c>
      <c r="AS16" s="62">
        <v>2.8999999999999998E-3</v>
      </c>
      <c r="AT16" s="62">
        <v>2.8999999999999998E-3</v>
      </c>
      <c r="AU16" s="62">
        <v>8.0500000000000002E-2</v>
      </c>
      <c r="AV16" s="62">
        <v>-5.3800000000000001E-2</v>
      </c>
      <c r="AW16" s="62">
        <v>9.9000000000000008E-3</v>
      </c>
      <c r="AX16" s="62">
        <v>-7.7299999999999994E-2</v>
      </c>
      <c r="AY16" s="62">
        <v>0.15440000000000001</v>
      </c>
      <c r="AZ16" s="62">
        <v>-4.8300000000000003E-2</v>
      </c>
      <c r="BA16" s="62">
        <v>-6.5500000000000003E-2</v>
      </c>
      <c r="BB16" s="62">
        <v>2.5100000000000001E-2</v>
      </c>
      <c r="BC16" s="62">
        <v>3.0999999999999999E-3</v>
      </c>
      <c r="BD16" s="62">
        <v>7.1999999999999998E-3</v>
      </c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2"/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2"/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2"/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2"/>
      <c r="DQ16" s="62"/>
      <c r="DR16" s="62"/>
      <c r="DS16" s="62"/>
      <c r="DT16" s="62"/>
      <c r="DU16" s="62"/>
      <c r="DV16" s="62"/>
      <c r="DW16" s="62"/>
      <c r="DX16" s="62"/>
      <c r="DY16" s="62"/>
      <c r="DZ16" s="62"/>
      <c r="EA16" s="62"/>
      <c r="EB16" s="62"/>
      <c r="EC16" s="62"/>
      <c r="ED16" s="62"/>
      <c r="EE16" s="62"/>
      <c r="EF16" s="62"/>
      <c r="EG16" s="62"/>
      <c r="EH16" s="62"/>
      <c r="EI16" s="62"/>
      <c r="EJ16" s="62"/>
      <c r="EK16" s="62"/>
      <c r="EL16" s="62"/>
      <c r="EM16" s="62"/>
      <c r="EN16" s="62"/>
      <c r="EO16" s="62"/>
      <c r="EP16" s="62"/>
      <c r="EQ16" s="62"/>
      <c r="ER16" s="62"/>
    </row>
    <row r="17" spans="1:148">
      <c r="A17" s="104" t="s">
        <v>109</v>
      </c>
      <c r="B17" s="104" t="s">
        <v>110</v>
      </c>
      <c r="C17" s="62">
        <v>9.0499999999999997E-2</v>
      </c>
      <c r="D17" s="62">
        <v>2.9000000000000001E-2</v>
      </c>
      <c r="E17" s="62">
        <v>8.9800000000000005E-2</v>
      </c>
      <c r="F17" s="62">
        <v>-7.9000000000000008E-3</v>
      </c>
      <c r="G17" s="62">
        <v>-4.2200000000000001E-2</v>
      </c>
      <c r="H17" s="62">
        <v>8.6999999999999994E-3</v>
      </c>
      <c r="I17" s="62">
        <v>-1.9400000000000001E-2</v>
      </c>
      <c r="J17" s="62">
        <v>6.4399999999999999E-2</v>
      </c>
      <c r="K17" s="62">
        <v>1.5100000000000001E-2</v>
      </c>
      <c r="L17" s="62">
        <v>-1.32E-2</v>
      </c>
      <c r="M17" s="62">
        <v>7.6E-3</v>
      </c>
      <c r="N17" s="62">
        <v>7.9799999999999996E-2</v>
      </c>
      <c r="O17" s="62">
        <v>-7.8100000000000003E-2</v>
      </c>
      <c r="P17" s="62">
        <v>-8.7599999999999997E-2</v>
      </c>
      <c r="Q17" s="62">
        <v>4.4999999999999997E-3</v>
      </c>
      <c r="R17" s="62">
        <v>-7.3999999999999996E-2</v>
      </c>
      <c r="S17" s="62">
        <v>5.9900000000000002E-2</v>
      </c>
      <c r="T17" s="62">
        <v>-0.2094</v>
      </c>
      <c r="U17" s="62">
        <v>0.11650000000000001</v>
      </c>
      <c r="V17" s="62">
        <v>-6.8599999999999994E-2</v>
      </c>
      <c r="W17" s="62">
        <v>-1.6799999999999999E-2</v>
      </c>
      <c r="X17" s="62">
        <v>0.113</v>
      </c>
      <c r="Y17" s="62">
        <v>0.2006</v>
      </c>
      <c r="Z17" s="62">
        <v>-2.5000000000000001E-2</v>
      </c>
      <c r="AA17" s="62">
        <v>0.1048</v>
      </c>
      <c r="AB17" s="62">
        <v>0.04</v>
      </c>
      <c r="AC17" s="62">
        <v>3.0499999999999999E-2</v>
      </c>
      <c r="AD17" s="62">
        <v>-4.7000000000000002E-3</v>
      </c>
      <c r="AE17" s="62">
        <v>3.5000000000000003E-2</v>
      </c>
      <c r="AF17" s="62">
        <v>-4.8999999999999998E-3</v>
      </c>
      <c r="AG17" s="62">
        <v>1.29E-2</v>
      </c>
      <c r="AH17" s="62">
        <v>-0.1031</v>
      </c>
      <c r="AI17" s="62">
        <v>-2.5899999999999999E-2</v>
      </c>
      <c r="AJ17" s="62">
        <v>-7.5399999999999995E-2</v>
      </c>
      <c r="AK17" s="62">
        <v>0.23219999999999999</v>
      </c>
      <c r="AL17" s="62">
        <v>0.10249999999999999</v>
      </c>
      <c r="AM17" s="62">
        <v>-2.2100000000000002E-2</v>
      </c>
      <c r="AN17" s="62">
        <v>0.13270000000000001</v>
      </c>
      <c r="AO17" s="62">
        <v>-3.3000000000000002E-2</v>
      </c>
      <c r="AP17" s="62">
        <v>-8.0000000000000002E-3</v>
      </c>
      <c r="AQ17" s="62">
        <v>9.5999999999999992E-3</v>
      </c>
      <c r="AR17" s="62">
        <v>-1.9400000000000001E-2</v>
      </c>
      <c r="AS17" s="62">
        <v>-2.46E-2</v>
      </c>
      <c r="AT17" s="62">
        <v>4.7999999999999996E-3</v>
      </c>
      <c r="AU17" s="62">
        <v>6.54E-2</v>
      </c>
      <c r="AV17" s="62">
        <v>-1.47E-2</v>
      </c>
      <c r="AW17" s="62">
        <v>2.24E-2</v>
      </c>
      <c r="AX17" s="62">
        <v>3.15E-2</v>
      </c>
      <c r="AY17" s="62">
        <v>9.1200000000000003E-2</v>
      </c>
      <c r="AZ17" s="62">
        <v>9.6799999999999997E-2</v>
      </c>
      <c r="BA17" s="62">
        <v>-3.5400000000000001E-2</v>
      </c>
      <c r="BB17" s="62">
        <v>-4.58E-2</v>
      </c>
      <c r="BC17" s="62">
        <v>0.05</v>
      </c>
      <c r="BD17" s="62">
        <v>2.46E-2</v>
      </c>
      <c r="BE17" s="62"/>
      <c r="BF17" s="62"/>
      <c r="BG17" s="62"/>
      <c r="BH17" s="62"/>
      <c r="BI17" s="62"/>
      <c r="BJ17" s="62"/>
      <c r="BK17" s="62"/>
      <c r="BL17" s="62"/>
      <c r="BM17" s="62"/>
      <c r="BN17" s="62"/>
      <c r="BO17" s="62"/>
      <c r="BP17" s="62"/>
      <c r="BQ17" s="62"/>
      <c r="BR17" s="62"/>
      <c r="BS17" s="62"/>
      <c r="BT17" s="62"/>
      <c r="BU17" s="62"/>
      <c r="BV17" s="62"/>
      <c r="BW17" s="62"/>
      <c r="BX17" s="62"/>
      <c r="BY17" s="62"/>
      <c r="BZ17" s="62"/>
      <c r="CA17" s="62"/>
      <c r="CB17" s="62"/>
      <c r="CC17" s="62"/>
      <c r="CD17" s="62"/>
      <c r="CE17" s="62"/>
      <c r="CF17" s="62"/>
      <c r="CG17" s="62"/>
      <c r="CH17" s="62"/>
      <c r="CI17" s="62"/>
      <c r="CJ17" s="62"/>
      <c r="CK17" s="62"/>
      <c r="CL17" s="62"/>
      <c r="CM17" s="62"/>
      <c r="CN17" s="62"/>
      <c r="CO17" s="62"/>
      <c r="CP17" s="62"/>
      <c r="CQ17" s="62"/>
      <c r="CR17" s="62"/>
      <c r="CS17" s="62"/>
      <c r="CT17" s="62"/>
      <c r="CU17" s="62"/>
      <c r="CV17" s="62"/>
      <c r="CW17" s="62"/>
      <c r="CX17" s="62"/>
      <c r="CY17" s="62"/>
      <c r="CZ17" s="62"/>
      <c r="DA17" s="62"/>
      <c r="DB17" s="62"/>
      <c r="DC17" s="62"/>
      <c r="DD17" s="62"/>
      <c r="DE17" s="62"/>
      <c r="DF17" s="62"/>
      <c r="DG17" s="62"/>
      <c r="DH17" s="62"/>
      <c r="DI17" s="62"/>
      <c r="DJ17" s="62"/>
      <c r="DK17" s="62"/>
      <c r="DL17" s="62"/>
      <c r="DM17" s="62"/>
      <c r="DN17" s="62"/>
      <c r="DO17" s="62"/>
      <c r="DP17" s="62"/>
      <c r="DQ17" s="62"/>
      <c r="DR17" s="62"/>
      <c r="DS17" s="62"/>
      <c r="DT17" s="62"/>
      <c r="DU17" s="62"/>
      <c r="DV17" s="62"/>
      <c r="DW17" s="62"/>
      <c r="DX17" s="62"/>
      <c r="DY17" s="62"/>
      <c r="DZ17" s="62"/>
      <c r="EA17" s="62"/>
      <c r="EB17" s="62"/>
      <c r="EC17" s="62"/>
      <c r="ED17" s="62"/>
      <c r="EE17" s="62"/>
      <c r="EF17" s="62"/>
      <c r="EG17" s="62"/>
      <c r="EH17" s="62"/>
      <c r="EI17" s="62"/>
      <c r="EJ17" s="62"/>
      <c r="EK17" s="62"/>
      <c r="EL17" s="62"/>
      <c r="EM17" s="62"/>
      <c r="EN17" s="62"/>
      <c r="EO17" s="62"/>
      <c r="EP17" s="62"/>
      <c r="EQ17" s="62"/>
      <c r="ER17" s="62"/>
    </row>
    <row r="18" spans="1:148">
      <c r="A18" s="104" t="s">
        <v>134</v>
      </c>
      <c r="B18" s="104" t="s">
        <v>135</v>
      </c>
      <c r="C18" s="62">
        <v>2.24E-2</v>
      </c>
      <c r="D18" s="62">
        <v>1.5699999999999999E-2</v>
      </c>
      <c r="E18" s="62">
        <v>6.0199999999999997E-2</v>
      </c>
      <c r="F18" s="62">
        <v>2.1299999999999999E-2</v>
      </c>
      <c r="G18" s="62">
        <v>-8.0999999999999996E-3</v>
      </c>
      <c r="H18" s="62">
        <v>2.53E-2</v>
      </c>
      <c r="I18" s="62">
        <v>6.5000000000000002E-2</v>
      </c>
      <c r="J18" s="62">
        <v>7.0800000000000002E-2</v>
      </c>
      <c r="K18" s="62">
        <v>-4.8899999999999999E-2</v>
      </c>
      <c r="L18" s="62">
        <v>3.4700000000000002E-2</v>
      </c>
      <c r="M18" s="62">
        <v>4.9200000000000001E-2</v>
      </c>
      <c r="N18" s="62">
        <v>0.104</v>
      </c>
      <c r="O18" s="62">
        <v>-0.13389999999999999</v>
      </c>
      <c r="P18" s="62">
        <v>-6.4100000000000004E-2</v>
      </c>
      <c r="Q18" s="62">
        <v>8.8599999999999998E-2</v>
      </c>
      <c r="R18" s="62">
        <v>-9.5000000000000001E-2</v>
      </c>
      <c r="S18" s="62">
        <v>-4.1099999999999998E-2</v>
      </c>
      <c r="T18" s="62">
        <v>-0.12509999999999999</v>
      </c>
      <c r="U18" s="62">
        <v>0.19170000000000001</v>
      </c>
      <c r="V18" s="62">
        <v>-0.1171</v>
      </c>
      <c r="W18" s="62">
        <v>-1.55E-2</v>
      </c>
      <c r="X18" s="62">
        <v>9.6799999999999997E-2</v>
      </c>
      <c r="Y18" s="62">
        <v>8.3099999999999993E-2</v>
      </c>
      <c r="Z18" s="62">
        <v>-5.8999999999999997E-2</v>
      </c>
      <c r="AA18" s="62">
        <v>0.1346</v>
      </c>
      <c r="AB18" s="62">
        <v>2.5600000000000001E-2</v>
      </c>
      <c r="AC18" s="62">
        <v>1.03E-2</v>
      </c>
      <c r="AD18" s="62">
        <v>2.69E-2</v>
      </c>
      <c r="AE18" s="62">
        <v>4.2999999999999997E-2</v>
      </c>
      <c r="AF18" s="62">
        <v>3.1699999999999999E-2</v>
      </c>
      <c r="AG18" s="62">
        <v>-2.6599999999999999E-2</v>
      </c>
      <c r="AH18" s="62">
        <v>-2.1399999999999999E-2</v>
      </c>
      <c r="AI18" s="62">
        <v>-1.01E-2</v>
      </c>
      <c r="AJ18" s="62">
        <v>-7.6399999999999996E-2</v>
      </c>
      <c r="AK18" s="62">
        <v>0.16309999999999999</v>
      </c>
      <c r="AL18" s="62">
        <v>7.8E-2</v>
      </c>
      <c r="AM18" s="62">
        <v>6.1999999999999998E-3</v>
      </c>
      <c r="AN18" s="62">
        <v>0.14710000000000001</v>
      </c>
      <c r="AO18" s="62">
        <v>-6.9999999999999999E-4</v>
      </c>
      <c r="AP18" s="62">
        <v>2.5999999999999999E-2</v>
      </c>
      <c r="AQ18" s="62">
        <v>7.3200000000000001E-2</v>
      </c>
      <c r="AR18" s="62">
        <v>-1.38E-2</v>
      </c>
      <c r="AS18" s="62">
        <v>-6.4999999999999997E-3</v>
      </c>
      <c r="AT18" s="62">
        <v>3.0700000000000002E-2</v>
      </c>
      <c r="AU18" s="62">
        <v>2.8299999999999999E-2</v>
      </c>
      <c r="AV18" s="62">
        <v>4.1999999999999997E-3</v>
      </c>
      <c r="AW18" s="62">
        <v>2.6599999999999999E-2</v>
      </c>
      <c r="AX18" s="62">
        <v>-1.0699999999999999E-2</v>
      </c>
      <c r="AY18" s="62">
        <v>1.8499999999999999E-2</v>
      </c>
      <c r="AZ18" s="62">
        <v>-4.65E-2</v>
      </c>
      <c r="BA18" s="62">
        <v>-9.9199999999999997E-2</v>
      </c>
      <c r="BB18" s="62">
        <v>-3.1099999999999999E-2</v>
      </c>
      <c r="BC18" s="62">
        <v>0.10340000000000001</v>
      </c>
      <c r="BD18" s="62">
        <v>2.01E-2</v>
      </c>
      <c r="BE18" s="62"/>
      <c r="BF18" s="62"/>
      <c r="BG18" s="62"/>
      <c r="BH18" s="62"/>
      <c r="BI18" s="62"/>
      <c r="BJ18" s="62"/>
      <c r="BK18" s="62"/>
      <c r="BL18" s="62"/>
      <c r="BM18" s="62"/>
      <c r="BN18" s="62"/>
      <c r="BO18" s="62"/>
      <c r="BP18" s="62"/>
      <c r="BQ18" s="62"/>
      <c r="BR18" s="62"/>
      <c r="BS18" s="62"/>
      <c r="BT18" s="62"/>
      <c r="BU18" s="62"/>
      <c r="BV18" s="62"/>
      <c r="BW18" s="62"/>
      <c r="BX18" s="62"/>
      <c r="BY18" s="62"/>
      <c r="BZ18" s="62"/>
      <c r="CA18" s="62"/>
      <c r="CB18" s="62"/>
      <c r="CC18" s="62"/>
      <c r="CD18" s="62"/>
      <c r="CE18" s="62"/>
      <c r="CF18" s="62"/>
      <c r="CG18" s="62"/>
      <c r="CH18" s="62"/>
      <c r="CI18" s="62"/>
      <c r="CJ18" s="62"/>
      <c r="CK18" s="62"/>
      <c r="CL18" s="62"/>
      <c r="CM18" s="62"/>
      <c r="CN18" s="62"/>
      <c r="CO18" s="62"/>
      <c r="CP18" s="62"/>
      <c r="CQ18" s="62"/>
      <c r="CR18" s="62"/>
      <c r="CS18" s="62"/>
      <c r="CT18" s="62"/>
      <c r="CU18" s="62"/>
      <c r="CV18" s="62"/>
      <c r="CW18" s="62"/>
      <c r="CX18" s="62"/>
      <c r="CY18" s="62"/>
      <c r="CZ18" s="62"/>
      <c r="DA18" s="62"/>
      <c r="DB18" s="62"/>
      <c r="DC18" s="62"/>
      <c r="DD18" s="62"/>
      <c r="DE18" s="62"/>
      <c r="DF18" s="62"/>
      <c r="DG18" s="62"/>
      <c r="DH18" s="62"/>
      <c r="DI18" s="62"/>
      <c r="DJ18" s="62"/>
      <c r="DK18" s="62"/>
      <c r="DL18" s="62"/>
      <c r="DM18" s="62"/>
      <c r="DN18" s="62"/>
      <c r="DO18" s="62"/>
      <c r="DP18" s="62"/>
      <c r="DQ18" s="62"/>
      <c r="DR18" s="62"/>
      <c r="DS18" s="62"/>
      <c r="DT18" s="62"/>
      <c r="DU18" s="62"/>
      <c r="DV18" s="62"/>
      <c r="DW18" s="62"/>
      <c r="DX18" s="62"/>
      <c r="DY18" s="62"/>
      <c r="DZ18" s="62"/>
      <c r="EA18" s="62"/>
      <c r="EB18" s="62"/>
      <c r="EC18" s="62"/>
      <c r="ED18" s="62"/>
      <c r="EE18" s="62"/>
      <c r="EF18" s="62"/>
      <c r="EG18" s="62"/>
      <c r="EH18" s="62"/>
      <c r="EI18" s="62"/>
      <c r="EJ18" s="62"/>
      <c r="EK18" s="62"/>
      <c r="EL18" s="62"/>
      <c r="EM18" s="62"/>
      <c r="EN18" s="62"/>
      <c r="EO18" s="62"/>
      <c r="EP18" s="62"/>
      <c r="EQ18" s="62"/>
      <c r="ER18" s="62"/>
    </row>
    <row r="19" spans="1:148">
      <c r="A19" s="104" t="s">
        <v>156</v>
      </c>
      <c r="B19" s="104" t="s">
        <v>157</v>
      </c>
      <c r="C19" s="62">
        <v>7.0699999999999999E-2</v>
      </c>
      <c r="D19" s="62">
        <v>-2.53E-2</v>
      </c>
      <c r="E19" s="62">
        <v>0.1162</v>
      </c>
      <c r="F19" s="62">
        <v>4.6699999999999998E-2</v>
      </c>
      <c r="G19" s="62">
        <v>3.3399999999999999E-2</v>
      </c>
      <c r="H19" s="62">
        <v>2.5700000000000001E-2</v>
      </c>
      <c r="I19" s="62">
        <v>7.6899999999999996E-2</v>
      </c>
      <c r="J19" s="62">
        <v>1.7600000000000001E-2</v>
      </c>
      <c r="K19" s="62">
        <v>-7.4099999999999999E-2</v>
      </c>
      <c r="L19" s="62">
        <v>-1.41E-2</v>
      </c>
      <c r="M19" s="62">
        <v>7.0000000000000007E-2</v>
      </c>
      <c r="N19" s="62">
        <v>0.1011</v>
      </c>
      <c r="O19" s="62">
        <v>-9.9000000000000005E-2</v>
      </c>
      <c r="P19" s="62">
        <v>-4.4000000000000003E-3</v>
      </c>
      <c r="Q19" s="62">
        <v>1.5E-3</v>
      </c>
      <c r="R19" s="62">
        <v>-2.23E-2</v>
      </c>
      <c r="S19" s="62">
        <v>-1.03E-2</v>
      </c>
      <c r="T19" s="62">
        <v>-0.1085</v>
      </c>
      <c r="U19" s="62">
        <v>0.16350000000000001</v>
      </c>
      <c r="V19" s="62">
        <v>-7.17E-2</v>
      </c>
      <c r="W19" s="62">
        <v>-2.6200000000000001E-2</v>
      </c>
      <c r="X19" s="62">
        <v>8.8700000000000001E-2</v>
      </c>
      <c r="Y19" s="62">
        <v>6.3500000000000001E-2</v>
      </c>
      <c r="Z19" s="62">
        <v>-5.0200000000000002E-2</v>
      </c>
      <c r="AA19" s="62">
        <v>0.1208</v>
      </c>
      <c r="AB19" s="62">
        <v>-1.21E-2</v>
      </c>
      <c r="AC19" s="62">
        <v>3.2899999999999999E-2</v>
      </c>
      <c r="AD19" s="62">
        <v>3.32E-2</v>
      </c>
      <c r="AE19" s="62">
        <v>4.7899999999999998E-2</v>
      </c>
      <c r="AF19" s="62">
        <v>5.3199999999999997E-2</v>
      </c>
      <c r="AG19" s="62">
        <v>1.14E-2</v>
      </c>
      <c r="AH19" s="62">
        <v>-3.3500000000000002E-2</v>
      </c>
      <c r="AI19" s="62">
        <v>-3.6900000000000002E-2</v>
      </c>
      <c r="AJ19" s="62">
        <v>-6.6699999999999995E-2</v>
      </c>
      <c r="AK19" s="62">
        <v>0.1512</v>
      </c>
      <c r="AL19" s="62">
        <v>0.1027</v>
      </c>
      <c r="AM19" s="62">
        <v>-2.0899999999999998E-2</v>
      </c>
      <c r="AN19" s="62">
        <v>8.4500000000000006E-2</v>
      </c>
      <c r="AO19" s="62">
        <v>3.0200000000000001E-2</v>
      </c>
      <c r="AP19" s="62">
        <v>6.4000000000000001E-2</v>
      </c>
      <c r="AQ19" s="62">
        <v>0.1007</v>
      </c>
      <c r="AR19" s="62">
        <v>2.8299999999999999E-2</v>
      </c>
      <c r="AS19" s="62">
        <v>-1.14E-2</v>
      </c>
      <c r="AT19" s="62">
        <v>9.1999999999999998E-3</v>
      </c>
      <c r="AU19" s="62">
        <v>6.0000000000000001E-3</v>
      </c>
      <c r="AV19" s="62">
        <v>-2.06E-2</v>
      </c>
      <c r="AW19" s="62">
        <v>5.9499999999999997E-2</v>
      </c>
      <c r="AX19" s="62">
        <v>-3.4000000000000002E-2</v>
      </c>
      <c r="AY19" s="62">
        <v>1.2200000000000001E-2</v>
      </c>
      <c r="AZ19" s="62">
        <v>-2.41E-2</v>
      </c>
      <c r="BA19" s="62">
        <v>-6.4100000000000004E-2</v>
      </c>
      <c r="BB19" s="62">
        <v>-2.1999999999999999E-2</v>
      </c>
      <c r="BC19" s="62">
        <v>7.8299999999999995E-2</v>
      </c>
      <c r="BD19" s="62">
        <v>1.54E-2</v>
      </c>
      <c r="BE19" s="62"/>
      <c r="BF19" s="62"/>
      <c r="BG19" s="62"/>
      <c r="BH19" s="62"/>
      <c r="BI19" s="62"/>
      <c r="BJ19" s="62"/>
      <c r="BK19" s="62"/>
      <c r="BL19" s="62"/>
      <c r="BM19" s="62"/>
      <c r="BN19" s="62"/>
      <c r="BO19" s="62"/>
      <c r="BP19" s="62"/>
      <c r="BQ19" s="62"/>
      <c r="BR19" s="62"/>
      <c r="BS19" s="62"/>
      <c r="BT19" s="62"/>
      <c r="BU19" s="62"/>
      <c r="BV19" s="62"/>
      <c r="BW19" s="62"/>
      <c r="BX19" s="62"/>
      <c r="BY19" s="62"/>
      <c r="BZ19" s="62"/>
      <c r="CA19" s="62"/>
      <c r="CB19" s="62"/>
      <c r="CC19" s="62"/>
      <c r="CD19" s="62"/>
      <c r="CE19" s="62"/>
      <c r="CF19" s="62"/>
      <c r="CG19" s="62"/>
      <c r="CH19" s="62"/>
      <c r="CI19" s="62"/>
      <c r="CJ19" s="62"/>
      <c r="CK19" s="62"/>
      <c r="CL19" s="62"/>
      <c r="CM19" s="62"/>
      <c r="CN19" s="62"/>
      <c r="CO19" s="62"/>
      <c r="CP19" s="62"/>
      <c r="CQ19" s="62"/>
      <c r="CR19" s="62"/>
      <c r="CS19" s="62"/>
      <c r="CT19" s="62"/>
      <c r="CU19" s="62"/>
      <c r="CV19" s="62"/>
      <c r="CW19" s="62"/>
      <c r="CX19" s="62"/>
      <c r="CY19" s="62"/>
      <c r="CZ19" s="62"/>
      <c r="DA19" s="62"/>
      <c r="DB19" s="62"/>
      <c r="DC19" s="62"/>
      <c r="DD19" s="62"/>
      <c r="DE19" s="62"/>
      <c r="DF19" s="62"/>
      <c r="DG19" s="62"/>
      <c r="DH19" s="62"/>
      <c r="DI19" s="62"/>
      <c r="DJ19" s="62"/>
      <c r="DK19" s="62"/>
      <c r="DL19" s="62"/>
      <c r="DM19" s="62"/>
      <c r="DN19" s="62"/>
      <c r="DO19" s="62"/>
      <c r="DP19" s="62"/>
      <c r="DQ19" s="62"/>
      <c r="DR19" s="62"/>
      <c r="DS19" s="62"/>
      <c r="DT19" s="62"/>
      <c r="DU19" s="62"/>
      <c r="DV19" s="62"/>
      <c r="DW19" s="62"/>
      <c r="DX19" s="62"/>
      <c r="DY19" s="62"/>
      <c r="DZ19" s="62"/>
      <c r="EA19" s="62"/>
      <c r="EB19" s="62"/>
      <c r="EC19" s="62"/>
      <c r="ED19" s="62"/>
      <c r="EE19" s="62"/>
      <c r="EF19" s="62"/>
      <c r="EG19" s="62"/>
      <c r="EH19" s="62"/>
      <c r="EI19" s="62"/>
      <c r="EJ19" s="62"/>
      <c r="EK19" s="62"/>
      <c r="EL19" s="62"/>
      <c r="EM19" s="62"/>
      <c r="EN19" s="62"/>
      <c r="EO19" s="62"/>
      <c r="EP19" s="62"/>
      <c r="EQ19" s="62"/>
      <c r="ER19" s="62"/>
    </row>
    <row r="20" spans="1:148">
      <c r="A20" s="104" t="s">
        <v>160</v>
      </c>
      <c r="B20" s="104" t="s">
        <v>161</v>
      </c>
      <c r="C20" s="62">
        <v>1.11E-2</v>
      </c>
      <c r="D20" s="62">
        <v>-5.1900000000000002E-2</v>
      </c>
      <c r="E20" s="62">
        <v>3.9300000000000002E-2</v>
      </c>
      <c r="F20" s="62">
        <v>3.5000000000000001E-3</v>
      </c>
      <c r="G20" s="62">
        <v>5.1000000000000004E-3</v>
      </c>
      <c r="H20" s="62">
        <v>-2.1899999999999999E-2</v>
      </c>
      <c r="I20" s="62">
        <v>-2.6700000000000002E-2</v>
      </c>
      <c r="J20" s="62">
        <v>2.1000000000000001E-2</v>
      </c>
      <c r="K20" s="62">
        <v>1.9599999999999999E-2</v>
      </c>
      <c r="L20" s="62">
        <v>-2.3999999999999998E-3</v>
      </c>
      <c r="M20" s="62">
        <v>-7.3499999999999996E-2</v>
      </c>
      <c r="N20" s="62">
        <v>6.7100000000000007E-2</v>
      </c>
      <c r="O20" s="62">
        <v>0.1124</v>
      </c>
      <c r="P20" s="62">
        <v>0.5151</v>
      </c>
      <c r="Q20" s="62">
        <v>0.35859999999999997</v>
      </c>
      <c r="R20" s="62">
        <v>0.1341</v>
      </c>
      <c r="S20" s="62">
        <v>-0.1061</v>
      </c>
      <c r="T20" s="62">
        <v>0.1709</v>
      </c>
      <c r="U20" s="62">
        <v>-0.192</v>
      </c>
      <c r="V20" s="62">
        <v>-0.12429999999999999</v>
      </c>
      <c r="W20" s="62">
        <v>3.5000000000000001E-3</v>
      </c>
      <c r="X20" s="62">
        <v>4.8899999999999999E-2</v>
      </c>
      <c r="Y20" s="62">
        <v>0.18360000000000001</v>
      </c>
      <c r="Z20" s="62">
        <v>-4.7600000000000003E-2</v>
      </c>
      <c r="AA20" s="62">
        <v>0.15670000000000001</v>
      </c>
      <c r="AB20" s="62">
        <v>0.1162</v>
      </c>
      <c r="AC20" s="62">
        <v>0.1411</v>
      </c>
      <c r="AD20" s="62">
        <v>-3.5799999999999998E-2</v>
      </c>
      <c r="AE20" s="62">
        <v>-9.4200000000000006E-2</v>
      </c>
      <c r="AF20" s="62">
        <v>6.2E-2</v>
      </c>
      <c r="AG20" s="62">
        <v>2.8000000000000001E-2</v>
      </c>
      <c r="AH20" s="62">
        <v>-2.29E-2</v>
      </c>
      <c r="AI20" s="62">
        <v>-2.87E-2</v>
      </c>
      <c r="AJ20" s="62">
        <v>0.1074</v>
      </c>
      <c r="AK20" s="62">
        <v>2.18E-2</v>
      </c>
      <c r="AL20" s="62">
        <v>3.95E-2</v>
      </c>
      <c r="AM20" s="62">
        <v>0.13100000000000001</v>
      </c>
      <c r="AN20" s="62">
        <v>0.30959999999999999</v>
      </c>
      <c r="AO20" s="62">
        <v>0.2228</v>
      </c>
      <c r="AP20" s="62">
        <v>-8.8000000000000005E-3</v>
      </c>
      <c r="AQ20" s="62">
        <v>3.2599999999999997E-2</v>
      </c>
      <c r="AR20" s="62">
        <v>-9.9199999999999997E-2</v>
      </c>
      <c r="AS20" s="62">
        <v>6.1600000000000002E-2</v>
      </c>
      <c r="AT20" s="62">
        <v>7.3899999999999993E-2</v>
      </c>
      <c r="AU20" s="62">
        <v>-0.10340000000000001</v>
      </c>
      <c r="AV20" s="62">
        <v>-2.2499999999999999E-2</v>
      </c>
      <c r="AW20" s="62">
        <v>0.31380000000000002</v>
      </c>
      <c r="AX20" s="62">
        <v>-1.2200000000000001E-2</v>
      </c>
      <c r="AY20" s="62">
        <v>0.22520000000000001</v>
      </c>
      <c r="AZ20" s="62">
        <v>0.3891</v>
      </c>
      <c r="BA20" s="62">
        <v>0.26479999999999998</v>
      </c>
      <c r="BB20" s="62">
        <v>0.12740000000000001</v>
      </c>
      <c r="BC20" s="62">
        <v>0.26950000000000002</v>
      </c>
      <c r="BD20" s="62">
        <v>-5.1200000000000002E-2</v>
      </c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/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2"/>
      <c r="EF20" s="62"/>
      <c r="EG20" s="62"/>
      <c r="EH20" s="62"/>
      <c r="EI20" s="62"/>
      <c r="EJ20" s="62"/>
      <c r="EK20" s="62"/>
      <c r="EL20" s="62"/>
      <c r="EM20" s="62"/>
      <c r="EN20" s="62"/>
      <c r="EO20" s="62"/>
      <c r="EP20" s="62"/>
      <c r="EQ20" s="62"/>
      <c r="ER20" s="62"/>
    </row>
    <row r="21" spans="1:148">
      <c r="A21" s="104" t="s">
        <v>165</v>
      </c>
      <c r="B21" s="104" t="s">
        <v>166</v>
      </c>
      <c r="C21" s="62">
        <v>0.06</v>
      </c>
      <c r="D21" s="62">
        <v>4.19E-2</v>
      </c>
      <c r="E21" s="62">
        <v>1.5299999999999999E-2</v>
      </c>
      <c r="F21" s="62">
        <v>1.1599999999999999E-2</v>
      </c>
      <c r="G21" s="62">
        <v>5.2999999999999999E-2</v>
      </c>
      <c r="H21" s="62">
        <v>-8.3000000000000001E-3</v>
      </c>
      <c r="I21" s="62">
        <v>-2.07E-2</v>
      </c>
      <c r="J21" s="62">
        <v>-3.6499999999999998E-2</v>
      </c>
      <c r="K21" s="62">
        <v>1.41E-2</v>
      </c>
      <c r="L21" s="62">
        <v>3.6700000000000003E-2</v>
      </c>
      <c r="M21" s="62">
        <v>-5.1700000000000003E-2</v>
      </c>
      <c r="N21" s="62">
        <v>7.1300000000000002E-2</v>
      </c>
      <c r="O21" s="62">
        <v>-2.7799999999999998E-2</v>
      </c>
      <c r="P21" s="62">
        <v>-0.1298</v>
      </c>
      <c r="Q21" s="62">
        <v>-1.6199999999999999E-2</v>
      </c>
      <c r="R21" s="62">
        <v>-2.5600000000000001E-2</v>
      </c>
      <c r="S21" s="62">
        <v>6.4699999999999994E-2</v>
      </c>
      <c r="T21" s="62">
        <v>-9.3799999999999994E-2</v>
      </c>
      <c r="U21" s="62">
        <v>0.1825</v>
      </c>
      <c r="V21" s="62">
        <v>-9.6000000000000002E-2</v>
      </c>
      <c r="W21" s="62">
        <v>-8.0600000000000005E-2</v>
      </c>
      <c r="X21" s="62">
        <v>0.13969999999999999</v>
      </c>
      <c r="Y21" s="62">
        <v>5.74E-2</v>
      </c>
      <c r="Z21" s="62">
        <v>-3.5200000000000002E-2</v>
      </c>
      <c r="AA21" s="62">
        <v>7.7100000000000002E-2</v>
      </c>
      <c r="AB21" s="62">
        <v>4.2700000000000002E-2</v>
      </c>
      <c r="AC21" s="62">
        <v>1.9E-3</v>
      </c>
      <c r="AD21" s="62">
        <v>4.8899999999999999E-2</v>
      </c>
      <c r="AE21" s="62">
        <v>-7.5800000000000006E-2</v>
      </c>
      <c r="AF21" s="62">
        <v>9.9400000000000002E-2</v>
      </c>
      <c r="AG21" s="62">
        <v>5.9200000000000003E-2</v>
      </c>
      <c r="AH21" s="62">
        <v>-7.1199999999999999E-2</v>
      </c>
      <c r="AI21" s="62">
        <v>4.8899999999999999E-2</v>
      </c>
      <c r="AJ21" s="62">
        <v>-4.3499999999999997E-2</v>
      </c>
      <c r="AK21" s="62">
        <v>0.14069999999999999</v>
      </c>
      <c r="AL21" s="62">
        <v>0.1045</v>
      </c>
      <c r="AM21" s="62">
        <v>-5.6099999999999997E-2</v>
      </c>
      <c r="AN21" s="62">
        <v>0.14349999999999999</v>
      </c>
      <c r="AO21" s="62">
        <v>4.7100000000000003E-2</v>
      </c>
      <c r="AP21" s="62">
        <v>-0.04</v>
      </c>
      <c r="AQ21" s="62">
        <v>2.3099999999999999E-2</v>
      </c>
      <c r="AR21" s="62">
        <v>-3.2599999999999997E-2</v>
      </c>
      <c r="AS21" s="62">
        <v>-1.1299999999999999E-2</v>
      </c>
      <c r="AT21" s="62">
        <v>1.6899999999999998E-2</v>
      </c>
      <c r="AU21" s="62">
        <v>-1.06E-2</v>
      </c>
      <c r="AV21" s="62">
        <v>4.4000000000000003E-3</v>
      </c>
      <c r="AW21" s="62">
        <v>-1.11E-2</v>
      </c>
      <c r="AX21" s="62">
        <v>-6.1000000000000004E-3</v>
      </c>
      <c r="AY21" s="62">
        <v>0.13819999999999999</v>
      </c>
      <c r="AZ21" s="62">
        <v>0.11849999999999999</v>
      </c>
      <c r="BA21" s="62">
        <v>-9.5899999999999999E-2</v>
      </c>
      <c r="BB21" s="62">
        <v>-5.2900000000000003E-2</v>
      </c>
      <c r="BC21" s="62">
        <v>1.9900000000000001E-2</v>
      </c>
      <c r="BD21" s="62">
        <v>-2.4899999999999999E-2</v>
      </c>
      <c r="BE21" s="62"/>
      <c r="BF21" s="62"/>
      <c r="BG21" s="62"/>
      <c r="BH21" s="62"/>
      <c r="BI21" s="62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2"/>
      <c r="EF21" s="62"/>
      <c r="EG21" s="62"/>
      <c r="EH21" s="62"/>
      <c r="EI21" s="62"/>
      <c r="EJ21" s="62"/>
      <c r="EK21" s="62"/>
      <c r="EL21" s="62"/>
      <c r="EM21" s="62"/>
      <c r="EN21" s="62"/>
      <c r="EO21" s="62"/>
      <c r="EP21" s="62"/>
      <c r="EQ21" s="62"/>
      <c r="ER21" s="62"/>
    </row>
    <row r="22" spans="1:148">
      <c r="A22" s="104" t="s">
        <v>173</v>
      </c>
      <c r="B22" s="104" t="s">
        <v>174</v>
      </c>
      <c r="C22" s="62">
        <v>3.9699999999999999E-2</v>
      </c>
      <c r="D22" s="62">
        <v>-5.2400000000000002E-2</v>
      </c>
      <c r="E22" s="62">
        <v>0.10290000000000001</v>
      </c>
      <c r="F22" s="62">
        <v>2.12E-2</v>
      </c>
      <c r="G22" s="62">
        <v>7.4700000000000003E-2</v>
      </c>
      <c r="H22" s="62">
        <v>4.2299999999999997E-2</v>
      </c>
      <c r="I22" s="62">
        <v>6.3399999999999998E-2</v>
      </c>
      <c r="J22" s="62">
        <v>2.1100000000000001E-2</v>
      </c>
      <c r="K22" s="62">
        <v>-4.2900000000000001E-2</v>
      </c>
      <c r="L22" s="62">
        <v>1.6E-2</v>
      </c>
      <c r="M22" s="62">
        <v>2.7E-2</v>
      </c>
      <c r="N22" s="62">
        <v>6.3200000000000006E-2</v>
      </c>
      <c r="O22" s="62">
        <v>-0.1273</v>
      </c>
      <c r="P22" s="62">
        <v>-5.5500000000000001E-2</v>
      </c>
      <c r="Q22" s="62">
        <v>1.84E-2</v>
      </c>
      <c r="R22" s="62">
        <v>-1.8800000000000001E-2</v>
      </c>
      <c r="S22" s="62">
        <v>-3.0099999999999998E-2</v>
      </c>
      <c r="T22" s="62">
        <v>-0.12540000000000001</v>
      </c>
      <c r="U22" s="62">
        <v>0.13370000000000001</v>
      </c>
      <c r="V22" s="62">
        <v>-9.5100000000000004E-2</v>
      </c>
      <c r="W22" s="62">
        <v>-7.7799999999999994E-2</v>
      </c>
      <c r="X22" s="62">
        <v>0.15720000000000001</v>
      </c>
      <c r="Y22" s="62">
        <v>4.4000000000000003E-3</v>
      </c>
      <c r="Z22" s="62">
        <v>-3.4299999999999997E-2</v>
      </c>
      <c r="AA22" s="62">
        <v>9.2200000000000004E-2</v>
      </c>
      <c r="AB22" s="62">
        <v>7.1999999999999995E-2</v>
      </c>
      <c r="AC22" s="62">
        <v>-4.02E-2</v>
      </c>
      <c r="AD22" s="62">
        <v>1.9300000000000001E-2</v>
      </c>
      <c r="AE22" s="62">
        <v>3.2199999999999999E-2</v>
      </c>
      <c r="AF22" s="62">
        <v>4.8599999999999997E-2</v>
      </c>
      <c r="AG22" s="62">
        <v>3.5000000000000001E-3</v>
      </c>
      <c r="AH22" s="62">
        <v>-2.0000000000000001E-4</v>
      </c>
      <c r="AI22" s="62">
        <v>-4.1700000000000001E-2</v>
      </c>
      <c r="AJ22" s="62">
        <v>-6.6699999999999995E-2</v>
      </c>
      <c r="AK22" s="62">
        <v>8.5199999999999998E-2</v>
      </c>
      <c r="AL22" s="62">
        <v>6.4199999999999993E-2</v>
      </c>
      <c r="AM22" s="62">
        <v>-4.1000000000000002E-2</v>
      </c>
      <c r="AN22" s="62">
        <v>3.61E-2</v>
      </c>
      <c r="AO22" s="62">
        <v>5.0500000000000003E-2</v>
      </c>
      <c r="AP22" s="62">
        <v>-1.38E-2</v>
      </c>
      <c r="AQ22" s="62">
        <v>4.4600000000000001E-2</v>
      </c>
      <c r="AR22" s="62">
        <v>-6.5199999999999994E-2</v>
      </c>
      <c r="AS22" s="62">
        <v>7.8200000000000006E-2</v>
      </c>
      <c r="AT22" s="62">
        <v>1.32E-2</v>
      </c>
      <c r="AU22" s="62">
        <v>2.0799999999999999E-2</v>
      </c>
      <c r="AV22" s="62">
        <v>2.8999999999999998E-3</v>
      </c>
      <c r="AW22" s="62">
        <v>-8.4199999999999997E-2</v>
      </c>
      <c r="AX22" s="62">
        <v>-8.8999999999999999E-3</v>
      </c>
      <c r="AY22" s="62">
        <v>5.1499999999999997E-2</v>
      </c>
      <c r="AZ22" s="62">
        <v>6.7500000000000004E-2</v>
      </c>
      <c r="BA22" s="62">
        <v>-7.8700000000000006E-2</v>
      </c>
      <c r="BB22" s="62">
        <v>-9.7000000000000003E-3</v>
      </c>
      <c r="BC22" s="62">
        <v>0.13339999999999999</v>
      </c>
      <c r="BD22" s="62">
        <v>6.1199999999999997E-2</v>
      </c>
      <c r="BE22" s="62"/>
      <c r="BF22" s="62"/>
      <c r="BG22" s="62"/>
      <c r="BH22" s="62"/>
      <c r="BI22" s="62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2"/>
      <c r="EF22" s="62"/>
      <c r="EG22" s="62"/>
      <c r="EH22" s="62"/>
      <c r="EI22" s="62"/>
      <c r="EJ22" s="62"/>
      <c r="EK22" s="62"/>
      <c r="EL22" s="62"/>
      <c r="EM22" s="62"/>
      <c r="EN22" s="62"/>
      <c r="EO22" s="62"/>
      <c r="EP22" s="62"/>
      <c r="EQ22" s="62"/>
      <c r="ER22" s="62"/>
    </row>
    <row r="23" spans="1:148">
      <c r="A23" s="104" t="s">
        <v>179</v>
      </c>
      <c r="B23" s="104" t="s">
        <v>180</v>
      </c>
      <c r="C23" s="62">
        <v>2.3E-2</v>
      </c>
      <c r="D23" s="62">
        <v>-4.58E-2</v>
      </c>
      <c r="E23" s="62">
        <v>9.3399999999999997E-2</v>
      </c>
      <c r="F23" s="62">
        <v>2.9499999999999998E-2</v>
      </c>
      <c r="G23" s="62">
        <v>-9.9000000000000008E-3</v>
      </c>
      <c r="H23" s="62">
        <v>4.4499999999999998E-2</v>
      </c>
      <c r="I23" s="62">
        <v>0.1086</v>
      </c>
      <c r="J23" s="62">
        <v>3.2500000000000001E-2</v>
      </c>
      <c r="K23" s="62">
        <v>-1.72E-2</v>
      </c>
      <c r="L23" s="62">
        <v>7.4099999999999999E-2</v>
      </c>
      <c r="M23" s="62">
        <v>2.1600000000000001E-2</v>
      </c>
      <c r="N23" s="62">
        <v>4.19E-2</v>
      </c>
      <c r="O23" s="62">
        <v>-4.7800000000000002E-2</v>
      </c>
      <c r="P23" s="62">
        <v>2.7000000000000001E-3</v>
      </c>
      <c r="Q23" s="62">
        <v>3.6400000000000002E-2</v>
      </c>
      <c r="R23" s="62">
        <v>2.5000000000000001E-2</v>
      </c>
      <c r="S23" s="62">
        <v>-6.2E-2</v>
      </c>
      <c r="T23" s="62">
        <v>-3.39E-2</v>
      </c>
      <c r="U23" s="62">
        <v>0.1197</v>
      </c>
      <c r="V23" s="62">
        <v>-9.0700000000000003E-2</v>
      </c>
      <c r="W23" s="62">
        <v>-4.2799999999999998E-2</v>
      </c>
      <c r="X23" s="62">
        <v>8.4699999999999998E-2</v>
      </c>
      <c r="Y23" s="62">
        <v>-1.4200000000000001E-2</v>
      </c>
      <c r="Z23" s="62">
        <v>-3.4599999999999999E-2</v>
      </c>
      <c r="AA23" s="62">
        <v>5.4399999999999997E-2</v>
      </c>
      <c r="AB23" s="62">
        <v>4.7899999999999998E-2</v>
      </c>
      <c r="AC23" s="62">
        <v>4.1599999999999998E-2</v>
      </c>
      <c r="AD23" s="62">
        <v>2.92E-2</v>
      </c>
      <c r="AE23" s="62">
        <v>-3.1099999999999999E-2</v>
      </c>
      <c r="AF23" s="62">
        <v>4.4499999999999998E-2</v>
      </c>
      <c r="AG23" s="62">
        <v>2.5999999999999999E-3</v>
      </c>
      <c r="AH23" s="62">
        <v>-9.4999999999999998E-3</v>
      </c>
      <c r="AI23" s="62">
        <v>6.3200000000000006E-2</v>
      </c>
      <c r="AJ23" s="62">
        <v>2.8899999999999999E-2</v>
      </c>
      <c r="AK23" s="62">
        <v>6.93E-2</v>
      </c>
      <c r="AL23" s="62">
        <v>1.83E-2</v>
      </c>
      <c r="AM23" s="62">
        <v>6.5799999999999997E-2</v>
      </c>
      <c r="AN23" s="62">
        <v>5.7500000000000002E-2</v>
      </c>
      <c r="AO23" s="62">
        <v>-9.7999999999999997E-3</v>
      </c>
      <c r="AP23" s="62">
        <v>-3.39E-2</v>
      </c>
      <c r="AQ23" s="62">
        <v>4.9599999999999998E-2</v>
      </c>
      <c r="AR23" s="62">
        <v>7.0800000000000002E-2</v>
      </c>
      <c r="AS23" s="62">
        <v>1.61E-2</v>
      </c>
      <c r="AT23" s="62">
        <v>-3.2000000000000001E-2</v>
      </c>
      <c r="AU23" s="62">
        <v>4.0000000000000001E-3</v>
      </c>
      <c r="AV23" s="62">
        <v>-8.9999999999999998E-4</v>
      </c>
      <c r="AW23" s="62">
        <v>5.8400000000000001E-2</v>
      </c>
      <c r="AX23" s="62">
        <v>-1.5900000000000001E-2</v>
      </c>
      <c r="AY23" s="62">
        <v>9.5799999999999996E-2</v>
      </c>
      <c r="AZ23" s="62">
        <v>-3.8899999999999997E-2</v>
      </c>
      <c r="BA23" s="62">
        <v>0</v>
      </c>
      <c r="BB23" s="62">
        <v>3.39E-2</v>
      </c>
      <c r="BC23" s="62">
        <v>2E-3</v>
      </c>
      <c r="BD23" s="62">
        <v>-3.1E-2</v>
      </c>
      <c r="BE23" s="62"/>
      <c r="BF23" s="62"/>
      <c r="BG23" s="62"/>
      <c r="BH23" s="62"/>
      <c r="BI23" s="62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2"/>
      <c r="EF23" s="62"/>
      <c r="EG23" s="62"/>
      <c r="EH23" s="62"/>
      <c r="EI23" s="62"/>
      <c r="EJ23" s="62"/>
      <c r="EK23" s="62"/>
      <c r="EL23" s="62"/>
      <c r="EM23" s="62"/>
      <c r="EN23" s="62"/>
      <c r="EO23" s="62"/>
      <c r="EP23" s="62"/>
      <c r="EQ23" s="62"/>
      <c r="ER23" s="62"/>
    </row>
    <row r="24" spans="1:148">
      <c r="A24" s="104" t="s">
        <v>185</v>
      </c>
      <c r="B24" s="104" t="s">
        <v>186</v>
      </c>
      <c r="C24" s="62">
        <v>-5.8799999999999998E-2</v>
      </c>
      <c r="D24" s="62">
        <v>0.1235</v>
      </c>
      <c r="E24" s="62">
        <v>1.5299999999999999E-2</v>
      </c>
      <c r="F24" s="62">
        <v>7.0000000000000007E-2</v>
      </c>
      <c r="G24" s="62">
        <v>1.66E-2</v>
      </c>
      <c r="H24" s="62">
        <v>-3.15E-2</v>
      </c>
      <c r="I24" s="62">
        <v>-8.6999999999999994E-3</v>
      </c>
      <c r="J24" s="62">
        <v>1.8800000000000001E-2</v>
      </c>
      <c r="K24" s="62">
        <v>-8.0999999999999996E-3</v>
      </c>
      <c r="L24" s="62">
        <v>2.46E-2</v>
      </c>
      <c r="M24" s="62">
        <v>-8.7999999999999995E-2</v>
      </c>
      <c r="N24" s="62">
        <v>0.1106</v>
      </c>
      <c r="O24" s="62">
        <v>4.0399999999999998E-2</v>
      </c>
      <c r="P24" s="62">
        <v>-2.2100000000000002E-2</v>
      </c>
      <c r="Q24" s="62">
        <v>-1.6199999999999999E-2</v>
      </c>
      <c r="R24" s="62">
        <v>2.2800000000000001E-2</v>
      </c>
      <c r="S24" s="62">
        <v>-3.4000000000000002E-2</v>
      </c>
      <c r="T24" s="62">
        <v>-5.2600000000000001E-2</v>
      </c>
      <c r="U24" s="62">
        <v>9.9099999999999994E-2</v>
      </c>
      <c r="V24" s="62">
        <v>-1.21E-2</v>
      </c>
      <c r="W24" s="62">
        <v>-9.8400000000000001E-2</v>
      </c>
      <c r="X24" s="62">
        <v>0.12039999999999999</v>
      </c>
      <c r="Y24" s="62">
        <v>4.7899999999999998E-2</v>
      </c>
      <c r="Z24" s="62">
        <v>-3.4500000000000003E-2</v>
      </c>
      <c r="AA24" s="62">
        <v>0.1109</v>
      </c>
      <c r="AB24" s="62">
        <v>4.0500000000000001E-2</v>
      </c>
      <c r="AC24" s="62">
        <v>-1.9699999999999999E-2</v>
      </c>
      <c r="AD24" s="62">
        <v>9.0800000000000006E-2</v>
      </c>
      <c r="AE24" s="62">
        <v>-5.2400000000000002E-2</v>
      </c>
      <c r="AF24" s="62">
        <v>5.9999999999999995E-4</v>
      </c>
      <c r="AG24" s="62">
        <v>3.8E-3</v>
      </c>
      <c r="AH24" s="62">
        <v>-3.5799999999999998E-2</v>
      </c>
      <c r="AI24" s="62">
        <v>0.02</v>
      </c>
      <c r="AJ24" s="62">
        <v>-5.1000000000000004E-3</v>
      </c>
      <c r="AK24" s="62">
        <v>8.5500000000000007E-2</v>
      </c>
      <c r="AL24" s="62">
        <v>1.2500000000000001E-2</v>
      </c>
      <c r="AM24" s="62">
        <v>2.9700000000000001E-2</v>
      </c>
      <c r="AN24" s="62">
        <v>1.1299999999999999E-2</v>
      </c>
      <c r="AO24" s="62">
        <v>3.0000000000000001E-3</v>
      </c>
      <c r="AP24" s="62">
        <v>-4.2599999999999999E-2</v>
      </c>
      <c r="AQ24" s="62">
        <v>3.8100000000000002E-2</v>
      </c>
      <c r="AR24" s="62">
        <v>-0.1404</v>
      </c>
      <c r="AS24" s="62">
        <v>7.3400000000000007E-2</v>
      </c>
      <c r="AT24" s="62">
        <v>2.41E-2</v>
      </c>
      <c r="AU24" s="62">
        <v>-2.9600000000000001E-2</v>
      </c>
      <c r="AV24" s="62">
        <v>-1.18E-2</v>
      </c>
      <c r="AW24" s="62">
        <v>-2.7699999999999999E-2</v>
      </c>
      <c r="AX24" s="62">
        <v>-1.1999999999999999E-3</v>
      </c>
      <c r="AY24" s="62">
        <v>4.7699999999999999E-2</v>
      </c>
      <c r="AZ24" s="62">
        <v>6.3200000000000006E-2</v>
      </c>
      <c r="BA24" s="62">
        <v>4.6800000000000001E-2</v>
      </c>
      <c r="BB24" s="62">
        <v>8.7800000000000003E-2</v>
      </c>
      <c r="BC24" s="62">
        <v>2.6499999999999999E-2</v>
      </c>
      <c r="BD24" s="62">
        <v>-6.0000000000000001E-3</v>
      </c>
      <c r="BE24" s="62"/>
      <c r="BF24" s="62"/>
      <c r="BG24" s="62"/>
      <c r="BH24" s="62"/>
      <c r="BI24" s="62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/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H24" s="62"/>
      <c r="DI24" s="62"/>
      <c r="DJ24" s="62"/>
      <c r="DK24" s="62"/>
      <c r="DL24" s="62"/>
      <c r="DM24" s="62"/>
      <c r="DN24" s="62"/>
      <c r="DO24" s="62"/>
      <c r="DP24" s="62"/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2"/>
      <c r="EF24" s="62"/>
      <c r="EG24" s="62"/>
      <c r="EH24" s="62"/>
      <c r="EI24" s="62"/>
      <c r="EJ24" s="62"/>
      <c r="EK24" s="62"/>
      <c r="EL24" s="62"/>
      <c r="EM24" s="62"/>
      <c r="EN24" s="62"/>
      <c r="EO24" s="62"/>
      <c r="EP24" s="62"/>
      <c r="EQ24" s="62"/>
      <c r="ER24" s="62"/>
    </row>
    <row r="25" spans="1:148">
      <c r="A25" s="104" t="s">
        <v>188</v>
      </c>
      <c r="B25" s="104" t="s">
        <v>189</v>
      </c>
      <c r="C25" s="62">
        <v>-0.1237</v>
      </c>
      <c r="D25" s="62">
        <v>4.2200000000000001E-2</v>
      </c>
      <c r="E25" s="62">
        <v>7.6999999999999999E-2</v>
      </c>
      <c r="F25" s="62">
        <v>6.3399999999999998E-2</v>
      </c>
      <c r="G25" s="62">
        <v>2.46E-2</v>
      </c>
      <c r="H25" s="62">
        <v>0.03</v>
      </c>
      <c r="I25" s="62">
        <v>1.01E-2</v>
      </c>
      <c r="J25" s="62">
        <v>-1.9199999999999998E-2</v>
      </c>
      <c r="K25" s="62">
        <v>2.9000000000000001E-2</v>
      </c>
      <c r="L25" s="62">
        <v>8.0500000000000002E-2</v>
      </c>
      <c r="M25" s="62">
        <v>-8.8999999999999996E-2</v>
      </c>
      <c r="N25" s="62">
        <v>0.1221</v>
      </c>
      <c r="O25" s="62">
        <v>-0.1085</v>
      </c>
      <c r="P25" s="62">
        <v>-6.1000000000000004E-3</v>
      </c>
      <c r="Q25" s="62">
        <v>-1.1900000000000001E-2</v>
      </c>
      <c r="R25" s="62">
        <v>1.9099999999999999E-2</v>
      </c>
      <c r="S25" s="62">
        <v>-1.17E-2</v>
      </c>
      <c r="T25" s="62">
        <v>7.4999999999999997E-3</v>
      </c>
      <c r="U25" s="62">
        <v>7.8100000000000003E-2</v>
      </c>
      <c r="V25" s="62">
        <v>-4.2200000000000001E-2</v>
      </c>
      <c r="W25" s="62">
        <v>-6.3700000000000007E-2</v>
      </c>
      <c r="X25" s="62">
        <v>5.6399999999999999E-2</v>
      </c>
      <c r="Y25" s="62">
        <v>5.3900000000000003E-2</v>
      </c>
      <c r="Z25" s="62">
        <v>-4.41E-2</v>
      </c>
      <c r="AA25" s="62">
        <v>0.105</v>
      </c>
      <c r="AB25" s="62">
        <v>-2.8799999999999999E-2</v>
      </c>
      <c r="AC25" s="62">
        <v>3.1600000000000003E-2</v>
      </c>
      <c r="AD25" s="62">
        <v>4.9500000000000002E-2</v>
      </c>
      <c r="AE25" s="62">
        <v>1.83E-2</v>
      </c>
      <c r="AF25" s="62">
        <v>6.9999999999999999E-4</v>
      </c>
      <c r="AG25" s="62">
        <v>5.0700000000000002E-2</v>
      </c>
      <c r="AH25" s="62">
        <v>-2.9499999999999998E-2</v>
      </c>
      <c r="AI25" s="62">
        <v>-9.5999999999999992E-3</v>
      </c>
      <c r="AJ25" s="62">
        <v>-3.0999999999999999E-3</v>
      </c>
      <c r="AK25" s="62">
        <v>0.1167</v>
      </c>
      <c r="AL25" s="62">
        <v>3.9699999999999999E-2</v>
      </c>
      <c r="AM25" s="62">
        <v>7.2400000000000006E-2</v>
      </c>
      <c r="AN25" s="62">
        <v>-2.1499999999999998E-2</v>
      </c>
      <c r="AO25" s="62">
        <v>5.8599999999999999E-2</v>
      </c>
      <c r="AP25" s="62">
        <v>-7.85E-2</v>
      </c>
      <c r="AQ25" s="62">
        <v>8.1600000000000006E-2</v>
      </c>
      <c r="AR25" s="62">
        <v>0</v>
      </c>
      <c r="AS25" s="62">
        <v>1.32E-2</v>
      </c>
      <c r="AT25" s="62">
        <v>2.7199999999999998E-2</v>
      </c>
      <c r="AU25" s="62">
        <v>2.23E-2</v>
      </c>
      <c r="AV25" s="62">
        <v>-4.41E-2</v>
      </c>
      <c r="AW25" s="62">
        <v>7.1599999999999997E-2</v>
      </c>
      <c r="AX25" s="62">
        <v>4.1399999999999999E-2</v>
      </c>
      <c r="AY25" s="62">
        <v>1.9699999999999999E-2</v>
      </c>
      <c r="AZ25" s="62">
        <v>3.4299999999999997E-2</v>
      </c>
      <c r="BA25" s="62">
        <v>-3.8300000000000001E-2</v>
      </c>
      <c r="BB25" s="62">
        <v>4.1300000000000003E-2</v>
      </c>
      <c r="BC25" s="62">
        <v>5.2900000000000003E-2</v>
      </c>
      <c r="BD25" s="62">
        <v>9.4000000000000004E-3</v>
      </c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/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2"/>
      <c r="EF25" s="62"/>
      <c r="EG25" s="62"/>
      <c r="EH25" s="62"/>
      <c r="EI25" s="62"/>
      <c r="EJ25" s="62"/>
      <c r="EK25" s="62"/>
      <c r="EL25" s="62"/>
      <c r="EM25" s="62"/>
      <c r="EN25" s="62"/>
      <c r="EO25" s="62"/>
      <c r="EP25" s="62"/>
      <c r="EQ25" s="62"/>
      <c r="ER25" s="62"/>
    </row>
    <row r="26" spans="1:148">
      <c r="A26" s="104" t="s">
        <v>61</v>
      </c>
      <c r="B26" s="104" t="s">
        <v>62</v>
      </c>
      <c r="C26" s="62">
        <v>-1.6000000000000001E-3</v>
      </c>
      <c r="D26" s="62">
        <v>-4.65E-2</v>
      </c>
      <c r="E26" s="62">
        <v>4.8599999999999997E-2</v>
      </c>
      <c r="F26" s="62">
        <v>-1.77E-2</v>
      </c>
      <c r="G26" s="62">
        <v>4.9700000000000001E-2</v>
      </c>
      <c r="H26" s="62">
        <v>0.1171</v>
      </c>
      <c r="I26" s="62">
        <v>2.5600000000000001E-2</v>
      </c>
      <c r="J26" s="62">
        <v>4.3200000000000002E-2</v>
      </c>
      <c r="K26" s="62">
        <v>-6.9699999999999998E-2</v>
      </c>
      <c r="L26" s="62">
        <v>5.7799999999999997E-2</v>
      </c>
      <c r="M26" s="62">
        <v>3.2399999999999998E-2</v>
      </c>
      <c r="N26" s="62">
        <v>6.0499999999999998E-2</v>
      </c>
      <c r="O26" s="62">
        <v>-6.6400000000000001E-2</v>
      </c>
      <c r="P26" s="62">
        <v>-6.6E-3</v>
      </c>
      <c r="Q26" s="62">
        <v>8.3299999999999999E-2</v>
      </c>
      <c r="R26" s="62">
        <v>-1.4500000000000001E-2</v>
      </c>
      <c r="S26" s="62">
        <v>-0.1019</v>
      </c>
      <c r="T26" s="62">
        <v>4.1000000000000003E-3</v>
      </c>
      <c r="U26" s="62">
        <v>1.95E-2</v>
      </c>
      <c r="V26" s="62">
        <v>-9.7000000000000003E-3</v>
      </c>
      <c r="W26" s="62">
        <v>4.3999999999999997E-2</v>
      </c>
      <c r="X26" s="62">
        <v>5.9999999999999995E-4</v>
      </c>
      <c r="Y26" s="62">
        <v>-6.6600000000000006E-2</v>
      </c>
      <c r="Z26" s="62">
        <v>-6.2E-2</v>
      </c>
      <c r="AA26" s="62">
        <v>-2.7300000000000001E-2</v>
      </c>
      <c r="AB26" s="62">
        <v>-4.4499999999999998E-2</v>
      </c>
      <c r="AC26" s="62">
        <v>-3.3999999999999998E-3</v>
      </c>
      <c r="AD26" s="62">
        <v>8.4099999999999994E-2</v>
      </c>
      <c r="AE26" s="62">
        <v>4.0300000000000002E-2</v>
      </c>
      <c r="AF26" s="62">
        <v>-5.5100000000000003E-2</v>
      </c>
      <c r="AG26" s="62">
        <v>9.7999999999999997E-3</v>
      </c>
      <c r="AH26" s="62">
        <v>-3.7999999999999999E-2</v>
      </c>
      <c r="AI26" s="62">
        <v>-4.82E-2</v>
      </c>
      <c r="AJ26" s="62">
        <v>-6.0999999999999999E-2</v>
      </c>
      <c r="AK26" s="62">
        <v>1.9099999999999999E-2</v>
      </c>
      <c r="AL26" s="62">
        <v>6.2899999999999998E-2</v>
      </c>
      <c r="AM26" s="62">
        <v>6.0000000000000001E-3</v>
      </c>
      <c r="AN26" s="62">
        <v>-8.2799999999999999E-2</v>
      </c>
      <c r="AO26" s="62">
        <v>1.18E-2</v>
      </c>
      <c r="AP26" s="62">
        <v>-4.6399999999999997E-2</v>
      </c>
      <c r="AQ26" s="62">
        <v>4.7399999999999998E-2</v>
      </c>
      <c r="AR26" s="62">
        <v>9.9099999999999994E-2</v>
      </c>
      <c r="AS26" s="62">
        <v>0.15890000000000001</v>
      </c>
      <c r="AT26" s="62">
        <v>1.7299999999999999E-2</v>
      </c>
      <c r="AU26" s="62">
        <v>-5.91E-2</v>
      </c>
      <c r="AV26" s="62">
        <v>-8.3000000000000001E-3</v>
      </c>
      <c r="AW26" s="62">
        <v>-3.73E-2</v>
      </c>
      <c r="AX26" s="62">
        <v>-1.0200000000000001E-2</v>
      </c>
      <c r="AY26" s="62">
        <v>0.113</v>
      </c>
      <c r="AZ26" s="62">
        <v>5.5599999999999997E-2</v>
      </c>
      <c r="BA26" s="62">
        <v>-1.6400000000000001E-2</v>
      </c>
      <c r="BB26" s="62">
        <v>-5.0700000000000002E-2</v>
      </c>
      <c r="BC26" s="62">
        <v>-1.35E-2</v>
      </c>
      <c r="BD26" s="62">
        <v>-2.7799999999999998E-2</v>
      </c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2"/>
      <c r="EF26" s="62"/>
      <c r="EG26" s="62"/>
      <c r="EH26" s="62"/>
      <c r="EI26" s="62"/>
      <c r="EJ26" s="62"/>
      <c r="EK26" s="62"/>
      <c r="EL26" s="62"/>
      <c r="EM26" s="62"/>
      <c r="EN26" s="62"/>
      <c r="EO26" s="62"/>
      <c r="EP26" s="62"/>
      <c r="EQ26" s="62"/>
      <c r="ER26" s="62"/>
    </row>
    <row r="27" spans="1:148">
      <c r="A27" s="104" t="s">
        <v>83</v>
      </c>
      <c r="B27" s="104" t="s">
        <v>84</v>
      </c>
      <c r="C27" s="62">
        <v>3.4799999999999998E-2</v>
      </c>
      <c r="D27" s="62">
        <v>-3.44E-2</v>
      </c>
      <c r="E27" s="62">
        <v>6.1600000000000002E-2</v>
      </c>
      <c r="F27" s="62">
        <v>4.2299999999999997E-2</v>
      </c>
      <c r="G27" s="62">
        <v>5.5300000000000002E-2</v>
      </c>
      <c r="H27" s="62">
        <v>8.0199999999999994E-2</v>
      </c>
      <c r="I27" s="62">
        <v>-4.1799999999999997E-2</v>
      </c>
      <c r="J27" s="62">
        <v>3.15E-2</v>
      </c>
      <c r="K27" s="62">
        <v>5.0900000000000001E-2</v>
      </c>
      <c r="L27" s="62">
        <v>3.4000000000000002E-2</v>
      </c>
      <c r="M27" s="62">
        <v>-9.9400000000000002E-2</v>
      </c>
      <c r="N27" s="62">
        <v>6.2899999999999998E-2</v>
      </c>
      <c r="O27" s="62">
        <v>5.0000000000000001E-4</v>
      </c>
      <c r="P27" s="62">
        <v>6.6199999999999995E-2</v>
      </c>
      <c r="Q27" s="62">
        <v>0.1096</v>
      </c>
      <c r="R27" s="62">
        <v>6.0900000000000003E-2</v>
      </c>
      <c r="S27" s="62">
        <v>-3.5400000000000001E-2</v>
      </c>
      <c r="T27" s="62">
        <v>2.0500000000000001E-2</v>
      </c>
      <c r="U27" s="62">
        <v>3.1600000000000003E-2</v>
      </c>
      <c r="V27" s="62">
        <v>-4.2299999999999997E-2</v>
      </c>
      <c r="W27" s="62">
        <v>-8.14E-2</v>
      </c>
      <c r="X27" s="62">
        <v>5.21E-2</v>
      </c>
      <c r="Y27" s="62">
        <v>8.6999999999999994E-2</v>
      </c>
      <c r="Z27" s="62">
        <v>-1.9900000000000001E-2</v>
      </c>
      <c r="AA27" s="62">
        <v>-5.1799999999999999E-2</v>
      </c>
      <c r="AB27" s="62">
        <v>4.8000000000000001E-2</v>
      </c>
      <c r="AC27" s="62">
        <v>2.8000000000000001E-2</v>
      </c>
      <c r="AD27" s="62">
        <v>4.9299999999999997E-2</v>
      </c>
      <c r="AE27" s="62">
        <v>1.4E-2</v>
      </c>
      <c r="AF27" s="62">
        <v>-3.27E-2</v>
      </c>
      <c r="AG27" s="62">
        <v>-5.0000000000000001E-3</v>
      </c>
      <c r="AH27" s="62">
        <v>-4.0500000000000001E-2</v>
      </c>
      <c r="AI27" s="62">
        <v>2.8500000000000001E-2</v>
      </c>
      <c r="AJ27" s="62">
        <v>-8.09E-2</v>
      </c>
      <c r="AK27" s="62">
        <v>-3.3999999999999998E-3</v>
      </c>
      <c r="AL27" s="62">
        <v>4.2000000000000003E-2</v>
      </c>
      <c r="AM27" s="62">
        <v>6.4999999999999997E-3</v>
      </c>
      <c r="AN27" s="62">
        <v>-3.7499999999999999E-2</v>
      </c>
      <c r="AO27" s="62">
        <v>7.0599999999999996E-2</v>
      </c>
      <c r="AP27" s="62">
        <v>0.1313</v>
      </c>
      <c r="AQ27" s="62">
        <v>1.2699999999999999E-2</v>
      </c>
      <c r="AR27" s="62">
        <v>1.89E-2</v>
      </c>
      <c r="AS27" s="62">
        <v>7.7000000000000002E-3</v>
      </c>
      <c r="AT27" s="62">
        <v>7.9600000000000004E-2</v>
      </c>
      <c r="AU27" s="62">
        <v>-0.11600000000000001</v>
      </c>
      <c r="AV27" s="62">
        <v>-6.1600000000000002E-2</v>
      </c>
      <c r="AW27" s="62">
        <v>-2.2700000000000001E-2</v>
      </c>
      <c r="AX27" s="62">
        <v>-8.8999999999999999E-3</v>
      </c>
      <c r="AY27" s="62">
        <v>7.0699999999999999E-2</v>
      </c>
      <c r="AZ27" s="62">
        <v>8.4400000000000003E-2</v>
      </c>
      <c r="BA27" s="62">
        <v>-7.2999999999999995E-2</v>
      </c>
      <c r="BB27" s="62">
        <v>-6.1499999999999999E-2</v>
      </c>
      <c r="BC27" s="62">
        <v>8.3000000000000001E-3</v>
      </c>
      <c r="BD27" s="62">
        <v>-7.1999999999999995E-2</v>
      </c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/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2"/>
      <c r="EF27" s="62"/>
      <c r="EG27" s="62"/>
      <c r="EH27" s="62"/>
      <c r="EI27" s="62"/>
      <c r="EJ27" s="62"/>
      <c r="EK27" s="62"/>
      <c r="EL27" s="62"/>
      <c r="EM27" s="62"/>
      <c r="EN27" s="62"/>
      <c r="EO27" s="62"/>
      <c r="EP27" s="62"/>
      <c r="EQ27" s="62"/>
      <c r="ER27" s="62"/>
    </row>
    <row r="28" spans="1:148">
      <c r="A28" s="104" t="s">
        <v>150</v>
      </c>
      <c r="B28" s="104" t="s">
        <v>151</v>
      </c>
      <c r="C28" s="62">
        <v>-1.9699999999999999E-2</v>
      </c>
      <c r="D28" s="62">
        <v>-1.7500000000000002E-2</v>
      </c>
      <c r="E28" s="62">
        <v>0.1115</v>
      </c>
      <c r="F28" s="62">
        <v>3.5799999999999998E-2</v>
      </c>
      <c r="G28" s="62">
        <v>3.4700000000000002E-2</v>
      </c>
      <c r="H28" s="62">
        <v>1.6E-2</v>
      </c>
      <c r="I28" s="62">
        <v>-1.67E-2</v>
      </c>
      <c r="J28" s="62">
        <v>8.5000000000000006E-3</v>
      </c>
      <c r="K28" s="62">
        <v>-5.1799999999999999E-2</v>
      </c>
      <c r="L28" s="62">
        <v>4.0300000000000002E-2</v>
      </c>
      <c r="M28" s="62">
        <v>-2.9700000000000001E-2</v>
      </c>
      <c r="N28" s="62">
        <v>5.6300000000000003E-2</v>
      </c>
      <c r="O28" s="62">
        <v>4.7100000000000003E-2</v>
      </c>
      <c r="P28" s="62">
        <v>7.7999999999999996E-3</v>
      </c>
      <c r="Q28" s="62">
        <v>-1.03E-2</v>
      </c>
      <c r="R28" s="62">
        <v>9.3700000000000006E-2</v>
      </c>
      <c r="S28" s="62">
        <v>2.1600000000000001E-2</v>
      </c>
      <c r="T28" s="62">
        <v>-3.0599999999999999E-2</v>
      </c>
      <c r="U28" s="62">
        <v>8.9999999999999993E-3</v>
      </c>
      <c r="V28" s="62">
        <v>-0.15459999999999999</v>
      </c>
      <c r="W28" s="62">
        <v>-4.5999999999999999E-2</v>
      </c>
      <c r="X28" s="62">
        <v>0.1139</v>
      </c>
      <c r="Y28" s="62">
        <v>-9.7000000000000003E-3</v>
      </c>
      <c r="Z28" s="62">
        <v>3.8899999999999997E-2</v>
      </c>
      <c r="AA28" s="62">
        <v>-1.9E-3</v>
      </c>
      <c r="AB28" s="62">
        <v>-8.6999999999999994E-3</v>
      </c>
      <c r="AC28" s="62">
        <v>0.12770000000000001</v>
      </c>
      <c r="AD28" s="62">
        <v>-2.3999999999999998E-3</v>
      </c>
      <c r="AE28" s="62">
        <v>-1.5800000000000002E-2</v>
      </c>
      <c r="AF28" s="62">
        <v>3.5000000000000003E-2</v>
      </c>
      <c r="AG28" s="62">
        <v>-1.1299999999999999E-2</v>
      </c>
      <c r="AH28" s="62">
        <v>1.6E-2</v>
      </c>
      <c r="AI28" s="62">
        <v>2.8799999999999999E-2</v>
      </c>
      <c r="AJ28" s="62">
        <v>-0.1555</v>
      </c>
      <c r="AK28" s="62">
        <v>-2.8E-3</v>
      </c>
      <c r="AL28" s="62">
        <v>5.0299999999999997E-2</v>
      </c>
      <c r="AM28" s="62">
        <v>4.0099999999999997E-2</v>
      </c>
      <c r="AN28" s="62">
        <v>-5.8599999999999999E-2</v>
      </c>
      <c r="AO28" s="62">
        <v>3.49E-2</v>
      </c>
      <c r="AP28" s="62">
        <v>2.3300000000000001E-2</v>
      </c>
      <c r="AQ28" s="62">
        <v>4.4000000000000003E-3</v>
      </c>
      <c r="AR28" s="62">
        <v>2E-3</v>
      </c>
      <c r="AS28" s="62">
        <v>5.9900000000000002E-2</v>
      </c>
      <c r="AT28" s="62">
        <v>6.1600000000000002E-2</v>
      </c>
      <c r="AU28" s="62">
        <v>1.6799999999999999E-2</v>
      </c>
      <c r="AV28" s="62">
        <v>-5.6300000000000003E-2</v>
      </c>
      <c r="AW28" s="62">
        <v>-5.1700000000000003E-2</v>
      </c>
      <c r="AX28" s="62">
        <v>1.7899999999999999E-2</v>
      </c>
      <c r="AY28" s="62">
        <v>0.1137</v>
      </c>
      <c r="AZ28" s="62">
        <v>-4.0000000000000002E-4</v>
      </c>
      <c r="BA28" s="62">
        <v>-2.3400000000000001E-2</v>
      </c>
      <c r="BB28" s="62">
        <v>-5.91E-2</v>
      </c>
      <c r="BC28" s="62">
        <v>-4.7199999999999999E-2</v>
      </c>
      <c r="BD28" s="62">
        <v>-6.0699999999999997E-2</v>
      </c>
      <c r="BE28" s="62"/>
      <c r="BF28" s="62"/>
      <c r="BG28" s="62"/>
      <c r="BH28" s="62"/>
      <c r="BI28" s="62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/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2"/>
      <c r="EF28" s="62"/>
      <c r="EG28" s="62"/>
      <c r="EH28" s="62"/>
      <c r="EI28" s="62"/>
      <c r="EJ28" s="62"/>
      <c r="EK28" s="62"/>
      <c r="EL28" s="62"/>
      <c r="EM28" s="62"/>
      <c r="EN28" s="62"/>
      <c r="EO28" s="62"/>
      <c r="EP28" s="62"/>
      <c r="EQ28" s="62"/>
      <c r="ER28" s="62"/>
    </row>
    <row r="29" spans="1:148">
      <c r="A29" s="104" t="s">
        <v>195</v>
      </c>
      <c r="B29" s="104" t="s">
        <v>196</v>
      </c>
      <c r="C29" s="62">
        <v>2.3E-2</v>
      </c>
      <c r="D29" s="62">
        <v>-8.6900000000000005E-2</v>
      </c>
      <c r="E29" s="62">
        <v>0.1004</v>
      </c>
      <c r="F29" s="62">
        <v>1.83E-2</v>
      </c>
      <c r="G29" s="62">
        <v>2.9700000000000001E-2</v>
      </c>
      <c r="H29" s="62">
        <v>5.6899999999999999E-2</v>
      </c>
      <c r="I29" s="62">
        <v>5.1999999999999998E-3</v>
      </c>
      <c r="J29" s="62">
        <v>3.7699999999999997E-2</v>
      </c>
      <c r="K29" s="62">
        <v>-4.1099999999999998E-2</v>
      </c>
      <c r="L29" s="62">
        <v>9.4799999999999995E-2</v>
      </c>
      <c r="M29" s="62">
        <v>1.2699999999999999E-2</v>
      </c>
      <c r="N29" s="62">
        <v>6.8000000000000005E-2</v>
      </c>
      <c r="O29" s="62">
        <v>3.04E-2</v>
      </c>
      <c r="P29" s="62">
        <v>-4.7500000000000001E-2</v>
      </c>
      <c r="Q29" s="62">
        <v>5.74E-2</v>
      </c>
      <c r="R29" s="62">
        <v>9.7100000000000006E-2</v>
      </c>
      <c r="S29" s="62">
        <v>-4.1500000000000002E-2</v>
      </c>
      <c r="T29" s="62">
        <v>6.6E-3</v>
      </c>
      <c r="U29" s="62">
        <v>-6.3E-3</v>
      </c>
      <c r="V29" s="62">
        <v>-0.21740000000000001</v>
      </c>
      <c r="W29" s="62">
        <v>-6.9199999999999998E-2</v>
      </c>
      <c r="X29" s="62">
        <v>0.1164</v>
      </c>
      <c r="Y29" s="62">
        <v>-7.1999999999999998E-3</v>
      </c>
      <c r="Z29" s="62">
        <v>-3.0999999999999999E-3</v>
      </c>
      <c r="AA29" s="62">
        <v>-5.4999999999999997E-3</v>
      </c>
      <c r="AB29" s="62">
        <v>1.6500000000000001E-2</v>
      </c>
      <c r="AC29" s="62">
        <v>-1.6999999999999999E-3</v>
      </c>
      <c r="AD29" s="62">
        <v>1.1900000000000001E-2</v>
      </c>
      <c r="AE29" s="62">
        <v>-3.6299999999999999E-2</v>
      </c>
      <c r="AF29" s="62">
        <v>3.1699999999999999E-2</v>
      </c>
      <c r="AG29" s="62">
        <v>0</v>
      </c>
      <c r="AH29" s="62">
        <v>1.35E-2</v>
      </c>
      <c r="AI29" s="62">
        <v>6.1100000000000002E-2</v>
      </c>
      <c r="AJ29" s="62">
        <v>-2.76E-2</v>
      </c>
      <c r="AK29" s="62">
        <v>-7.4999999999999997E-3</v>
      </c>
      <c r="AL29" s="62">
        <v>1.7000000000000001E-2</v>
      </c>
      <c r="AM29" s="62">
        <v>9.8699999999999996E-2</v>
      </c>
      <c r="AN29" s="62">
        <v>6.8400000000000002E-2</v>
      </c>
      <c r="AO29" s="62">
        <v>2.7400000000000001E-2</v>
      </c>
      <c r="AP29" s="62">
        <v>-1.9400000000000001E-2</v>
      </c>
      <c r="AQ29" s="62">
        <v>6.6900000000000001E-2</v>
      </c>
      <c r="AR29" s="62">
        <v>-0.12959999999999999</v>
      </c>
      <c r="AS29" s="62">
        <v>-4.7999999999999996E-3</v>
      </c>
      <c r="AT29" s="62">
        <v>0.10589999999999999</v>
      </c>
      <c r="AU29" s="62">
        <v>-7.3300000000000004E-2</v>
      </c>
      <c r="AV29" s="62">
        <v>-9.5699999999999993E-2</v>
      </c>
      <c r="AW29" s="62">
        <v>-1.4200000000000001E-2</v>
      </c>
      <c r="AX29" s="62">
        <v>1.34E-2</v>
      </c>
      <c r="AY29" s="62">
        <v>3.1E-2</v>
      </c>
      <c r="AZ29" s="62">
        <v>6.9400000000000003E-2</v>
      </c>
      <c r="BA29" s="62">
        <v>-1.72E-2</v>
      </c>
      <c r="BB29" s="62">
        <v>-1E-3</v>
      </c>
      <c r="BC29" s="62">
        <v>3.73E-2</v>
      </c>
      <c r="BD29" s="62">
        <v>-9.3299999999999994E-2</v>
      </c>
      <c r="BE29" s="62"/>
      <c r="BF29" s="62"/>
      <c r="BG29" s="62"/>
      <c r="BH29" s="62"/>
      <c r="BI29" s="62"/>
      <c r="BJ29" s="62"/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/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2"/>
      <c r="EF29" s="62"/>
      <c r="EG29" s="62"/>
      <c r="EH29" s="62"/>
      <c r="EI29" s="62"/>
      <c r="EJ29" s="62"/>
      <c r="EK29" s="62"/>
      <c r="EL29" s="62"/>
      <c r="EM29" s="62"/>
      <c r="EN29" s="62"/>
      <c r="EO29" s="62"/>
      <c r="EP29" s="62"/>
      <c r="EQ29" s="62"/>
      <c r="ER29" s="62"/>
    </row>
    <row r="30" spans="1:148">
      <c r="A30" s="104" t="s">
        <v>50</v>
      </c>
      <c r="B30" s="104" t="s">
        <v>51</v>
      </c>
      <c r="C30" s="62">
        <v>-3.6200000000000003E-2</v>
      </c>
      <c r="D30" s="62">
        <v>-6.6600000000000006E-2</v>
      </c>
      <c r="E30" s="62">
        <v>0.10100000000000001</v>
      </c>
      <c r="F30" s="62">
        <v>6.9099999999999995E-2</v>
      </c>
      <c r="G30" s="62">
        <v>1.5699999999999999E-2</v>
      </c>
      <c r="H30" s="62">
        <v>4.3099999999999999E-2</v>
      </c>
      <c r="I30" s="62">
        <v>1.66E-2</v>
      </c>
      <c r="J30" s="62">
        <v>2E-3</v>
      </c>
      <c r="K30" s="62">
        <v>-2.58E-2</v>
      </c>
      <c r="L30" s="62">
        <v>9.5299999999999996E-2</v>
      </c>
      <c r="M30" s="62">
        <v>-7.4000000000000003E-3</v>
      </c>
      <c r="N30" s="62">
        <v>8.6599999999999996E-2</v>
      </c>
      <c r="O30" s="62">
        <v>-7.3400000000000007E-2</v>
      </c>
      <c r="P30" s="62">
        <v>1.9400000000000001E-2</v>
      </c>
      <c r="Q30" s="62">
        <v>1.09E-2</v>
      </c>
      <c r="R30" s="62">
        <v>6.8599999999999994E-2</v>
      </c>
      <c r="S30" s="62">
        <v>-7.4099999999999999E-2</v>
      </c>
      <c r="T30" s="62">
        <v>-2.01E-2</v>
      </c>
      <c r="U30" s="62">
        <v>7.5899999999999995E-2</v>
      </c>
      <c r="V30" s="62">
        <v>-2.5499999999999998E-2</v>
      </c>
      <c r="W30" s="62">
        <v>-4.8599999999999997E-2</v>
      </c>
      <c r="X30" s="62">
        <v>-8.9999999999999993E-3</v>
      </c>
      <c r="Y30" s="62">
        <v>3.9E-2</v>
      </c>
      <c r="Z30" s="62">
        <v>-5.2200000000000003E-2</v>
      </c>
      <c r="AA30" s="62">
        <v>3.0700000000000002E-2</v>
      </c>
      <c r="AB30" s="62">
        <v>-4.58E-2</v>
      </c>
      <c r="AC30" s="62">
        <v>5.1700000000000003E-2</v>
      </c>
      <c r="AD30" s="62">
        <v>6.3700000000000007E-2</v>
      </c>
      <c r="AE30" s="62">
        <v>-4.65E-2</v>
      </c>
      <c r="AF30" s="62">
        <v>-7.1000000000000004E-3</v>
      </c>
      <c r="AG30" s="62">
        <v>1.38E-2</v>
      </c>
      <c r="AH30" s="62">
        <v>-4.4000000000000003E-3</v>
      </c>
      <c r="AI30" s="62">
        <v>-3.5499999999999997E-2</v>
      </c>
      <c r="AJ30" s="62">
        <v>-4.9399999999999999E-2</v>
      </c>
      <c r="AK30" s="62">
        <v>2.29E-2</v>
      </c>
      <c r="AL30" s="62">
        <v>7.1000000000000004E-3</v>
      </c>
      <c r="AM30" s="62">
        <v>6.1000000000000004E-3</v>
      </c>
      <c r="AN30" s="62">
        <v>-9.0300000000000005E-2</v>
      </c>
      <c r="AO30" s="62">
        <v>2.3699999999999999E-2</v>
      </c>
      <c r="AP30" s="62">
        <v>-1.2800000000000001E-2</v>
      </c>
      <c r="AQ30" s="62">
        <v>3.6700000000000003E-2</v>
      </c>
      <c r="AR30" s="62">
        <v>-2.3300000000000001E-2</v>
      </c>
      <c r="AS30" s="62">
        <v>-1.6799999999999999E-2</v>
      </c>
      <c r="AT30" s="62">
        <v>3.3700000000000001E-2</v>
      </c>
      <c r="AU30" s="62">
        <v>-6.7900000000000002E-2</v>
      </c>
      <c r="AV30" s="62">
        <v>-3.8199999999999998E-2</v>
      </c>
      <c r="AW30" s="62">
        <v>-5.3699999999999998E-2</v>
      </c>
      <c r="AX30" s="62">
        <v>-3.09E-2</v>
      </c>
      <c r="AY30" s="62">
        <v>2.8799999999999999E-2</v>
      </c>
      <c r="AZ30" s="62">
        <v>0.13450000000000001</v>
      </c>
      <c r="BA30" s="62">
        <v>5.5999999999999999E-3</v>
      </c>
      <c r="BB30" s="62">
        <v>4.1799999999999997E-2</v>
      </c>
      <c r="BC30" s="62">
        <v>2.0000000000000001E-4</v>
      </c>
      <c r="BD30" s="62">
        <v>-0.1021</v>
      </c>
      <c r="BE30" s="62"/>
      <c r="BF30" s="62"/>
      <c r="BG30" s="62"/>
      <c r="BH30" s="62"/>
      <c r="BI30" s="62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/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2"/>
      <c r="EF30" s="62"/>
      <c r="EG30" s="62"/>
      <c r="EH30" s="62"/>
      <c r="EI30" s="62"/>
      <c r="EJ30" s="62"/>
      <c r="EK30" s="62"/>
      <c r="EL30" s="62"/>
      <c r="EM30" s="62"/>
      <c r="EN30" s="62"/>
      <c r="EO30" s="62"/>
      <c r="EP30" s="62"/>
      <c r="EQ30" s="62"/>
      <c r="ER30" s="62"/>
    </row>
    <row r="31" spans="1:148">
      <c r="A31" s="104" t="s">
        <v>117</v>
      </c>
      <c r="B31" s="104" t="s">
        <v>118</v>
      </c>
      <c r="C31" s="62">
        <v>-2.3300000000000001E-2</v>
      </c>
      <c r="D31" s="62">
        <v>-9.1499999999999998E-2</v>
      </c>
      <c r="E31" s="62">
        <v>0.10539999999999999</v>
      </c>
      <c r="F31" s="62">
        <v>2.1499999999999998E-2</v>
      </c>
      <c r="G31" s="62">
        <v>1.95E-2</v>
      </c>
      <c r="H31" s="62">
        <v>1.9E-3</v>
      </c>
      <c r="I31" s="62">
        <v>-1.26E-2</v>
      </c>
      <c r="J31" s="62">
        <v>-2.2599999999999999E-2</v>
      </c>
      <c r="K31" s="62">
        <v>-1.1299999999999999E-2</v>
      </c>
      <c r="L31" s="62">
        <v>-5.1000000000000004E-3</v>
      </c>
      <c r="M31" s="62">
        <v>-1.4800000000000001E-2</v>
      </c>
      <c r="N31" s="62">
        <v>3.6400000000000002E-2</v>
      </c>
      <c r="O31" s="62">
        <v>-3.2800000000000003E-2</v>
      </c>
      <c r="P31" s="62">
        <v>-3.5999999999999999E-3</v>
      </c>
      <c r="Q31" s="62">
        <v>-8.5099999999999995E-2</v>
      </c>
      <c r="R31" s="62">
        <v>8.2500000000000004E-2</v>
      </c>
      <c r="S31" s="62">
        <v>2.4500000000000001E-2</v>
      </c>
      <c r="T31" s="62">
        <v>-3.9E-2</v>
      </c>
      <c r="U31" s="62">
        <v>0.10539999999999999</v>
      </c>
      <c r="V31" s="62">
        <v>-4.1300000000000003E-2</v>
      </c>
      <c r="W31" s="62">
        <v>-5.8999999999999999E-3</v>
      </c>
      <c r="X31" s="62">
        <v>2.1700000000000001E-2</v>
      </c>
      <c r="Y31" s="62">
        <v>5.04E-2</v>
      </c>
      <c r="Z31" s="62">
        <v>-1.55E-2</v>
      </c>
      <c r="AA31" s="62">
        <v>-1.32E-2</v>
      </c>
      <c r="AB31" s="62">
        <v>2.1499999999999998E-2</v>
      </c>
      <c r="AC31" s="62">
        <v>8.8000000000000005E-3</v>
      </c>
      <c r="AD31" s="62">
        <v>6.25E-2</v>
      </c>
      <c r="AE31" s="62">
        <v>-6.4199999999999993E-2</v>
      </c>
      <c r="AF31" s="62">
        <v>1.72E-2</v>
      </c>
      <c r="AG31" s="62">
        <v>2.5899999999999999E-2</v>
      </c>
      <c r="AH31" s="62">
        <v>-2.6800000000000001E-2</v>
      </c>
      <c r="AI31" s="62">
        <v>-7.4000000000000003E-3</v>
      </c>
      <c r="AJ31" s="62">
        <v>-4.6899999999999997E-2</v>
      </c>
      <c r="AK31" s="62">
        <v>-1.2800000000000001E-2</v>
      </c>
      <c r="AL31" s="62">
        <v>3.5000000000000001E-3</v>
      </c>
      <c r="AM31" s="62">
        <v>2.87E-2</v>
      </c>
      <c r="AN31" s="62">
        <v>1.09E-2</v>
      </c>
      <c r="AO31" s="62">
        <v>2.9100000000000001E-2</v>
      </c>
      <c r="AP31" s="62">
        <v>4.2900000000000001E-2</v>
      </c>
      <c r="AQ31" s="62">
        <v>4.4600000000000001E-2</v>
      </c>
      <c r="AR31" s="62">
        <v>2.07E-2</v>
      </c>
      <c r="AS31" s="62">
        <v>0.1065</v>
      </c>
      <c r="AT31" s="62">
        <v>3.4799999999999998E-2</v>
      </c>
      <c r="AU31" s="62">
        <v>-1.1999999999999999E-3</v>
      </c>
      <c r="AV31" s="62">
        <v>-3.7400000000000003E-2</v>
      </c>
      <c r="AW31" s="62">
        <v>1.8800000000000001E-2</v>
      </c>
      <c r="AX31" s="62">
        <v>-2.8000000000000001E-2</v>
      </c>
      <c r="AY31" s="62">
        <v>6.3E-3</v>
      </c>
      <c r="AZ31" s="62">
        <v>-1.01E-2</v>
      </c>
      <c r="BA31" s="62">
        <v>1.29E-2</v>
      </c>
      <c r="BB31" s="62">
        <v>1.6400000000000001E-2</v>
      </c>
      <c r="BC31" s="62">
        <v>6.6E-3</v>
      </c>
      <c r="BD31" s="62">
        <v>-7.5899999999999995E-2</v>
      </c>
      <c r="BE31" s="62"/>
      <c r="BF31" s="62"/>
      <c r="BG31" s="62"/>
      <c r="BH31" s="62"/>
      <c r="BI31" s="62"/>
      <c r="BJ31" s="62"/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/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2"/>
      <c r="EF31" s="62"/>
      <c r="EG31" s="62"/>
      <c r="EH31" s="62"/>
      <c r="EI31" s="62"/>
      <c r="EJ31" s="62"/>
      <c r="EK31" s="62"/>
      <c r="EL31" s="62"/>
      <c r="EM31" s="62"/>
      <c r="EN31" s="62"/>
      <c r="EO31" s="62"/>
      <c r="EP31" s="62"/>
      <c r="EQ31" s="62"/>
      <c r="ER31" s="62"/>
    </row>
    <row r="32" spans="1:148">
      <c r="A32" s="104" t="s">
        <v>182</v>
      </c>
      <c r="B32" s="104" t="s">
        <v>183</v>
      </c>
      <c r="C32" s="62">
        <v>-6.6600000000000006E-2</v>
      </c>
      <c r="D32" s="62">
        <v>4.3799999999999999E-2</v>
      </c>
      <c r="E32" s="62">
        <v>7.9299999999999995E-2</v>
      </c>
      <c r="F32" s="62">
        <v>5.7799999999999997E-2</v>
      </c>
      <c r="G32" s="62">
        <v>7.8E-2</v>
      </c>
      <c r="H32" s="62">
        <v>2.0400000000000001E-2</v>
      </c>
      <c r="I32" s="62">
        <v>2.69E-2</v>
      </c>
      <c r="J32" s="62">
        <v>2.69E-2</v>
      </c>
      <c r="K32" s="62">
        <v>-9.9500000000000005E-2</v>
      </c>
      <c r="L32" s="62">
        <v>0.10680000000000001</v>
      </c>
      <c r="M32" s="62">
        <v>6.4999999999999997E-3</v>
      </c>
      <c r="N32" s="62">
        <v>4.8899999999999999E-2</v>
      </c>
      <c r="O32" s="62">
        <v>-9.6199999999999994E-2</v>
      </c>
      <c r="P32" s="62">
        <v>-5.8000000000000003E-2</v>
      </c>
      <c r="Q32" s="62">
        <v>2.4899999999999999E-2</v>
      </c>
      <c r="R32" s="62">
        <v>-2.7300000000000001E-2</v>
      </c>
      <c r="S32" s="62">
        <v>-5.8299999999999998E-2</v>
      </c>
      <c r="T32" s="62">
        <v>2.3E-3</v>
      </c>
      <c r="U32" s="62">
        <v>0.1178</v>
      </c>
      <c r="V32" s="62">
        <v>-6.7500000000000004E-2</v>
      </c>
      <c r="W32" s="62">
        <v>-3.7900000000000003E-2</v>
      </c>
      <c r="X32" s="62">
        <v>-3.6799999999999999E-2</v>
      </c>
      <c r="Y32" s="62">
        <v>0.1154</v>
      </c>
      <c r="Z32" s="62">
        <v>-5.9799999999999999E-2</v>
      </c>
      <c r="AA32" s="62">
        <v>0.13320000000000001</v>
      </c>
      <c r="AB32" s="62">
        <v>-7.7999999999999996E-3</v>
      </c>
      <c r="AC32" s="62">
        <v>9.64E-2</v>
      </c>
      <c r="AD32" s="62">
        <v>6.7100000000000007E-2</v>
      </c>
      <c r="AE32" s="62">
        <v>-7.8E-2</v>
      </c>
      <c r="AF32" s="62">
        <v>7.0400000000000004E-2</v>
      </c>
      <c r="AG32" s="62">
        <v>-9.1000000000000004E-3</v>
      </c>
      <c r="AH32" s="62">
        <v>-4.1099999999999998E-2</v>
      </c>
      <c r="AI32" s="62">
        <v>-3.1099999999999999E-2</v>
      </c>
      <c r="AJ32" s="62">
        <v>7.4999999999999997E-3</v>
      </c>
      <c r="AK32" s="62">
        <v>8.8099999999999998E-2</v>
      </c>
      <c r="AL32" s="62">
        <v>4.5499999999999999E-2</v>
      </c>
      <c r="AM32" s="62">
        <v>-1.32E-2</v>
      </c>
      <c r="AN32" s="62">
        <v>-6.7000000000000002E-3</v>
      </c>
      <c r="AO32" s="62">
        <v>-6.8999999999999999E-3</v>
      </c>
      <c r="AP32" s="62">
        <v>1.77E-2</v>
      </c>
      <c r="AQ32" s="62">
        <v>2.8299999999999999E-2</v>
      </c>
      <c r="AR32" s="62">
        <v>-9.2999999999999999E-2</v>
      </c>
      <c r="AS32" s="62">
        <v>-2.29E-2</v>
      </c>
      <c r="AT32" s="62">
        <v>-1.01E-2</v>
      </c>
      <c r="AU32" s="62">
        <v>1.37E-2</v>
      </c>
      <c r="AV32" s="62">
        <v>-0.14380000000000001</v>
      </c>
      <c r="AW32" s="62">
        <v>-4.53E-2</v>
      </c>
      <c r="AX32" s="62">
        <v>4.02E-2</v>
      </c>
      <c r="AY32" s="62">
        <v>4.87E-2</v>
      </c>
      <c r="AZ32" s="62">
        <v>-1.5299999999999999E-2</v>
      </c>
      <c r="BA32" s="62">
        <v>-2.8799999999999999E-2</v>
      </c>
      <c r="BB32" s="62">
        <v>0.1288</v>
      </c>
      <c r="BC32" s="62">
        <v>-2.0299999999999999E-2</v>
      </c>
      <c r="BD32" s="62">
        <v>-2.5000000000000001E-2</v>
      </c>
      <c r="BE32" s="62"/>
      <c r="BF32" s="62"/>
      <c r="BG32" s="62"/>
      <c r="BH32" s="62"/>
      <c r="BI32" s="62"/>
      <c r="BJ32" s="62"/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/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2"/>
      <c r="EF32" s="62"/>
      <c r="EG32" s="62"/>
      <c r="EH32" s="62"/>
      <c r="EI32" s="62"/>
      <c r="EJ32" s="62"/>
      <c r="EK32" s="62"/>
      <c r="EL32" s="62"/>
      <c r="EM32" s="62"/>
      <c r="EN32" s="62"/>
      <c r="EO32" s="62"/>
      <c r="EP32" s="62"/>
      <c r="EQ32" s="62"/>
      <c r="ER32" s="62"/>
    </row>
    <row r="33" spans="1:148">
      <c r="A33" s="104" t="s">
        <v>204</v>
      </c>
      <c r="B33" s="104" t="s">
        <v>205</v>
      </c>
      <c r="C33" s="62">
        <v>2.23E-2</v>
      </c>
      <c r="D33" s="62">
        <v>2.7300000000000001E-2</v>
      </c>
      <c r="E33" s="62">
        <v>3.61E-2</v>
      </c>
      <c r="F33" s="62">
        <v>2.2000000000000001E-3</v>
      </c>
      <c r="G33" s="62">
        <v>2.81E-2</v>
      </c>
      <c r="H33" s="62">
        <v>1.84E-2</v>
      </c>
      <c r="I33" s="62">
        <v>4.53E-2</v>
      </c>
      <c r="J33" s="62">
        <v>-3.0999999999999999E-3</v>
      </c>
      <c r="K33" s="62">
        <v>-4.5600000000000002E-2</v>
      </c>
      <c r="L33" s="62">
        <v>-4.5699999999999998E-2</v>
      </c>
      <c r="M33" s="62">
        <v>-7.7399999999999997E-2</v>
      </c>
      <c r="N33" s="62">
        <v>0.05</v>
      </c>
      <c r="O33" s="62">
        <v>1.21E-2</v>
      </c>
      <c r="P33" s="62">
        <v>-1.7000000000000001E-2</v>
      </c>
      <c r="Q33" s="62">
        <v>-7.8799999999999995E-2</v>
      </c>
      <c r="R33" s="62">
        <v>0.15210000000000001</v>
      </c>
      <c r="S33" s="62">
        <v>-1.6299999999999999E-2</v>
      </c>
      <c r="T33" s="62">
        <v>-2.69E-2</v>
      </c>
      <c r="U33" s="62">
        <v>1.03E-2</v>
      </c>
      <c r="V33" s="62">
        <v>-2.4199999999999999E-2</v>
      </c>
      <c r="W33" s="62">
        <v>-7.4999999999999997E-2</v>
      </c>
      <c r="X33" s="62">
        <v>3.6400000000000002E-2</v>
      </c>
      <c r="Y33" s="62">
        <v>-5.1999999999999998E-3</v>
      </c>
      <c r="Z33" s="62">
        <v>-1.7000000000000001E-2</v>
      </c>
      <c r="AA33" s="62">
        <v>2.1899999999999999E-2</v>
      </c>
      <c r="AB33" s="62">
        <v>5.8200000000000002E-2</v>
      </c>
      <c r="AC33" s="62">
        <v>7.6399999999999996E-2</v>
      </c>
      <c r="AD33" s="62">
        <v>4.6800000000000001E-2</v>
      </c>
      <c r="AE33" s="62">
        <v>-4.5999999999999999E-2</v>
      </c>
      <c r="AF33" s="62">
        <v>1.4500000000000001E-2</v>
      </c>
      <c r="AG33" s="62">
        <v>-1.09E-2</v>
      </c>
      <c r="AH33" s="62">
        <v>-3.0599999999999999E-2</v>
      </c>
      <c r="AI33" s="62">
        <v>-2.92E-2</v>
      </c>
      <c r="AJ33" s="62">
        <v>7.4399999999999994E-2</v>
      </c>
      <c r="AK33" s="62">
        <v>5.0200000000000002E-2</v>
      </c>
      <c r="AL33" s="62">
        <v>-4.8999999999999998E-3</v>
      </c>
      <c r="AM33" s="62">
        <v>5.21E-2</v>
      </c>
      <c r="AN33" s="62">
        <v>-4.41E-2</v>
      </c>
      <c r="AO33" s="62">
        <v>1.47E-2</v>
      </c>
      <c r="AP33" s="62">
        <v>-2.0500000000000001E-2</v>
      </c>
      <c r="AQ33" s="62">
        <v>4.4699999999999997E-2</v>
      </c>
      <c r="AR33" s="62">
        <v>-3.4500000000000003E-2</v>
      </c>
      <c r="AS33" s="62">
        <v>5.3999999999999999E-2</v>
      </c>
      <c r="AT33" s="62">
        <v>4.3900000000000002E-2</v>
      </c>
      <c r="AU33" s="62">
        <v>4.0399999999999998E-2</v>
      </c>
      <c r="AV33" s="62">
        <v>5.4999999999999997E-3</v>
      </c>
      <c r="AW33" s="62">
        <v>-1.5800000000000002E-2</v>
      </c>
      <c r="AX33" s="62">
        <v>7.1000000000000004E-3</v>
      </c>
      <c r="AY33" s="62">
        <v>3.6200000000000003E-2</v>
      </c>
      <c r="AZ33" s="62">
        <v>2.0500000000000001E-2</v>
      </c>
      <c r="BA33" s="62">
        <v>2.8799999999999999E-2</v>
      </c>
      <c r="BB33" s="62">
        <v>7.2300000000000003E-2</v>
      </c>
      <c r="BC33" s="62">
        <v>1.9E-2</v>
      </c>
      <c r="BD33" s="62">
        <v>-7.8100000000000003E-2</v>
      </c>
      <c r="BE33" s="62"/>
      <c r="BF33" s="62"/>
      <c r="BG33" s="62"/>
      <c r="BH33" s="62"/>
      <c r="BI33" s="62"/>
      <c r="BJ33" s="62"/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/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2"/>
      <c r="EF33" s="62"/>
      <c r="EG33" s="62"/>
      <c r="EH33" s="62"/>
      <c r="EI33" s="62"/>
      <c r="EJ33" s="62"/>
      <c r="EK33" s="62"/>
      <c r="EL33" s="62"/>
      <c r="EM33" s="62"/>
      <c r="EN33" s="62"/>
      <c r="EO33" s="62"/>
      <c r="EP33" s="62"/>
      <c r="EQ33" s="62"/>
      <c r="ER33" s="62"/>
    </row>
    <row r="34" spans="1:148">
      <c r="A34" s="104" t="s">
        <v>207</v>
      </c>
      <c r="B34" s="104" t="s">
        <v>208</v>
      </c>
      <c r="C34" s="62">
        <v>2.0799999999999999E-2</v>
      </c>
      <c r="D34" s="62">
        <v>-7.4200000000000002E-2</v>
      </c>
      <c r="E34" s="62">
        <v>8.7499999999999994E-2</v>
      </c>
      <c r="F34" s="62">
        <v>-4.0500000000000001E-2</v>
      </c>
      <c r="G34" s="62">
        <v>5.5199999999999999E-2</v>
      </c>
      <c r="H34" s="62">
        <v>6.1199999999999997E-2</v>
      </c>
      <c r="I34" s="62">
        <v>4.4900000000000002E-2</v>
      </c>
      <c r="J34" s="62">
        <v>0.1075</v>
      </c>
      <c r="K34" s="62">
        <v>5.7999999999999996E-3</v>
      </c>
      <c r="L34" s="62">
        <v>-2.1100000000000001E-2</v>
      </c>
      <c r="M34" s="62">
        <v>5.3999999999999999E-2</v>
      </c>
      <c r="N34" s="62">
        <v>1.6400000000000001E-2</v>
      </c>
      <c r="O34" s="62">
        <v>-4.58E-2</v>
      </c>
      <c r="P34" s="62">
        <v>-4.4299999999999999E-2</v>
      </c>
      <c r="Q34" s="62">
        <v>5.9499999999999997E-2</v>
      </c>
      <c r="R34" s="62">
        <v>-1.72E-2</v>
      </c>
      <c r="S34" s="62">
        <v>-8.4900000000000003E-2</v>
      </c>
      <c r="T34" s="62">
        <v>-3.2899999999999999E-2</v>
      </c>
      <c r="U34" s="62">
        <v>8.1500000000000003E-2</v>
      </c>
      <c r="V34" s="62">
        <v>3.6200000000000003E-2</v>
      </c>
      <c r="W34" s="62">
        <v>-4.6199999999999998E-2</v>
      </c>
      <c r="X34" s="62">
        <v>8.09E-2</v>
      </c>
      <c r="Y34" s="62">
        <v>-1.54E-2</v>
      </c>
      <c r="Z34" s="62">
        <v>-3.5099999999999999E-2</v>
      </c>
      <c r="AA34" s="62">
        <v>2.0299999999999999E-2</v>
      </c>
      <c r="AB34" s="62">
        <v>9.6000000000000002E-2</v>
      </c>
      <c r="AC34" s="62">
        <v>4.9099999999999998E-2</v>
      </c>
      <c r="AD34" s="62">
        <v>1.0500000000000001E-2</v>
      </c>
      <c r="AE34" s="62">
        <v>-0.05</v>
      </c>
      <c r="AF34" s="62">
        <v>5.3900000000000003E-2</v>
      </c>
      <c r="AG34" s="62">
        <v>4.0000000000000001E-3</v>
      </c>
      <c r="AH34" s="62">
        <v>-2.3300000000000001E-2</v>
      </c>
      <c r="AI34" s="62">
        <v>-5.4800000000000001E-2</v>
      </c>
      <c r="AJ34" s="62">
        <v>-1.8200000000000001E-2</v>
      </c>
      <c r="AK34" s="62">
        <v>-5.1400000000000001E-2</v>
      </c>
      <c r="AL34" s="62">
        <v>-2.0500000000000001E-2</v>
      </c>
      <c r="AM34" s="62">
        <v>-2.0000000000000001E-4</v>
      </c>
      <c r="AN34" s="62">
        <v>5.8099999999999999E-2</v>
      </c>
      <c r="AO34" s="62">
        <v>7.3000000000000001E-3</v>
      </c>
      <c r="AP34" s="62">
        <v>4.9399999999999999E-2</v>
      </c>
      <c r="AQ34" s="62">
        <v>3.5000000000000001E-3</v>
      </c>
      <c r="AR34" s="62">
        <v>-3.3300000000000003E-2</v>
      </c>
      <c r="AS34" s="62">
        <v>7.9399999999999998E-2</v>
      </c>
      <c r="AT34" s="62">
        <v>6.0400000000000002E-2</v>
      </c>
      <c r="AU34" s="62">
        <v>-1E-3</v>
      </c>
      <c r="AV34" s="62">
        <v>-2.3199999999999998E-2</v>
      </c>
      <c r="AW34" s="62">
        <v>7.7200000000000005E-2</v>
      </c>
      <c r="AX34" s="62">
        <v>-3.5499999999999997E-2</v>
      </c>
      <c r="AY34" s="62">
        <v>8.48E-2</v>
      </c>
      <c r="AZ34" s="62">
        <v>-5.5999999999999999E-3</v>
      </c>
      <c r="BA34" s="62">
        <v>1.7399999999999999E-2</v>
      </c>
      <c r="BB34" s="62">
        <v>6.7100000000000007E-2</v>
      </c>
      <c r="BC34" s="62">
        <v>2.8799999999999999E-2</v>
      </c>
      <c r="BD34" s="62">
        <v>-4.5199999999999997E-2</v>
      </c>
      <c r="BE34" s="62"/>
      <c r="BF34" s="62"/>
      <c r="BG34" s="62"/>
      <c r="BH34" s="62"/>
      <c r="BI34" s="62"/>
      <c r="BJ34" s="62"/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/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2"/>
      <c r="EF34" s="62"/>
      <c r="EG34" s="62"/>
      <c r="EH34" s="62"/>
      <c r="EI34" s="62"/>
      <c r="EJ34" s="62"/>
      <c r="EK34" s="62"/>
      <c r="EL34" s="62"/>
      <c r="EM34" s="62"/>
      <c r="EN34" s="62"/>
      <c r="EO34" s="62"/>
      <c r="EP34" s="62"/>
      <c r="EQ34" s="62"/>
      <c r="ER34" s="62"/>
    </row>
    <row r="35" spans="1:148">
      <c r="A35" s="104" t="s">
        <v>213</v>
      </c>
      <c r="B35" s="104" t="s">
        <v>214</v>
      </c>
      <c r="C35" s="62">
        <v>-0.11609999999999999</v>
      </c>
      <c r="D35" s="62">
        <v>0.10290000000000001</v>
      </c>
      <c r="E35" s="62">
        <v>-8.3299999999999999E-2</v>
      </c>
      <c r="F35" s="62">
        <v>-3.27E-2</v>
      </c>
      <c r="G35" s="62">
        <v>0.17549999999999999</v>
      </c>
      <c r="H35" s="62">
        <v>4.7199999999999999E-2</v>
      </c>
      <c r="I35" s="62">
        <v>-2.3099999999999999E-2</v>
      </c>
      <c r="J35" s="62">
        <v>-2.2800000000000001E-2</v>
      </c>
      <c r="K35" s="62">
        <v>-0.09</v>
      </c>
      <c r="L35" s="62">
        <v>4.0399999999999998E-2</v>
      </c>
      <c r="M35" s="62">
        <v>-0.1027</v>
      </c>
      <c r="N35" s="62">
        <v>-4.4999999999999997E-3</v>
      </c>
      <c r="O35" s="62">
        <v>-4.2099999999999999E-2</v>
      </c>
      <c r="P35" s="62">
        <v>-0.13930000000000001</v>
      </c>
      <c r="Q35" s="62">
        <v>2.0400000000000001E-2</v>
      </c>
      <c r="R35" s="62">
        <v>-0.1072</v>
      </c>
      <c r="S35" s="62">
        <v>-8.9999999999999993E-3</v>
      </c>
      <c r="T35" s="62">
        <v>-9.0200000000000002E-2</v>
      </c>
      <c r="U35" s="62">
        <v>-2.8999999999999998E-3</v>
      </c>
      <c r="V35" s="62">
        <v>-0.1181</v>
      </c>
      <c r="W35" s="62">
        <v>-0.2097</v>
      </c>
      <c r="X35" s="62">
        <v>-0.15390000000000001</v>
      </c>
      <c r="Y35" s="62">
        <v>0.24560000000000001</v>
      </c>
      <c r="Z35" s="62">
        <v>3.3700000000000001E-2</v>
      </c>
      <c r="AA35" s="62">
        <v>0.1555</v>
      </c>
      <c r="AB35" s="62">
        <v>-3.9899999999999998E-2</v>
      </c>
      <c r="AC35" s="62">
        <v>0.1447</v>
      </c>
      <c r="AD35" s="62">
        <v>-1.5100000000000001E-2</v>
      </c>
      <c r="AE35" s="62">
        <v>-4.4900000000000002E-2</v>
      </c>
      <c r="AF35" s="62">
        <v>0.17480000000000001</v>
      </c>
      <c r="AG35" s="62">
        <v>3.3099999999999997E-2</v>
      </c>
      <c r="AH35" s="62">
        <v>3.0000000000000001E-3</v>
      </c>
      <c r="AI35" s="62">
        <v>-0.1014</v>
      </c>
      <c r="AJ35" s="62">
        <v>8.2000000000000007E-3</v>
      </c>
      <c r="AK35" s="62">
        <v>0.14849999999999999</v>
      </c>
      <c r="AL35" s="62">
        <v>-4.1099999999999998E-2</v>
      </c>
      <c r="AM35" s="62">
        <v>-0.1152</v>
      </c>
      <c r="AN35" s="62">
        <v>0.14860000000000001</v>
      </c>
      <c r="AO35" s="62">
        <v>0.1047</v>
      </c>
      <c r="AP35" s="62">
        <v>9.2100000000000001E-2</v>
      </c>
      <c r="AQ35" s="62">
        <v>3.0200000000000001E-2</v>
      </c>
      <c r="AR35" s="62">
        <v>-3.7100000000000001E-2</v>
      </c>
      <c r="AS35" s="62">
        <v>3.0499999999999999E-2</v>
      </c>
      <c r="AT35" s="62">
        <v>6.1000000000000004E-3</v>
      </c>
      <c r="AU35" s="62">
        <v>2.81E-2</v>
      </c>
      <c r="AV35" s="62">
        <v>-7.4399999999999994E-2</v>
      </c>
      <c r="AW35" s="62">
        <v>1.1299999999999999E-2</v>
      </c>
      <c r="AX35" s="62">
        <v>6.2799999999999995E-2</v>
      </c>
      <c r="AY35" s="62">
        <v>7.0099999999999996E-2</v>
      </c>
      <c r="AZ35" s="62">
        <v>-3.4299999999999997E-2</v>
      </c>
      <c r="BA35" s="62">
        <v>-0.1099</v>
      </c>
      <c r="BB35" s="62">
        <v>-6.8400000000000002E-2</v>
      </c>
      <c r="BC35" s="62">
        <v>9.6799999999999997E-2</v>
      </c>
      <c r="BD35" s="62">
        <v>-0.1018</v>
      </c>
      <c r="BE35" s="62"/>
      <c r="BF35" s="62"/>
      <c r="BG35" s="62"/>
      <c r="BH35" s="62"/>
      <c r="BI35" s="62"/>
      <c r="BJ35" s="62"/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/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H35" s="62"/>
      <c r="DI35" s="62"/>
      <c r="DJ35" s="62"/>
      <c r="DK35" s="62"/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2"/>
      <c r="EF35" s="62"/>
      <c r="EG35" s="62"/>
      <c r="EH35" s="62"/>
      <c r="EI35" s="62"/>
      <c r="EJ35" s="62"/>
      <c r="EK35" s="62"/>
      <c r="EL35" s="62"/>
      <c r="EM35" s="62"/>
      <c r="EN35" s="62"/>
      <c r="EO35" s="62"/>
      <c r="EP35" s="62"/>
      <c r="EQ35" s="62"/>
      <c r="ER35" s="62"/>
    </row>
    <row r="36" spans="1:148">
      <c r="A36" s="104" t="s">
        <v>216</v>
      </c>
      <c r="B36" s="104" t="s">
        <v>217</v>
      </c>
      <c r="C36" s="62">
        <v>3.8E-3</v>
      </c>
      <c r="D36" s="62">
        <v>0.1419</v>
      </c>
      <c r="E36" s="62">
        <v>0.14449999999999999</v>
      </c>
      <c r="F36" s="62">
        <v>-5.7999999999999996E-3</v>
      </c>
      <c r="G36" s="62">
        <v>2.7699999999999999E-2</v>
      </c>
      <c r="H36" s="62">
        <v>-6.6E-3</v>
      </c>
      <c r="I36" s="62">
        <v>-4.5999999999999999E-3</v>
      </c>
      <c r="J36" s="62">
        <v>-5.1799999999999999E-2</v>
      </c>
      <c r="K36" s="62">
        <v>7.6399999999999996E-2</v>
      </c>
      <c r="L36" s="62">
        <v>0.1157</v>
      </c>
      <c r="M36" s="62">
        <v>-2.8500000000000001E-2</v>
      </c>
      <c r="N36" s="62">
        <v>-3.2500000000000001E-2</v>
      </c>
      <c r="O36" s="62">
        <v>3.7600000000000001E-2</v>
      </c>
      <c r="P36" s="62">
        <v>-1.54E-2</v>
      </c>
      <c r="Q36" s="62">
        <v>-8.0699999999999994E-2</v>
      </c>
      <c r="R36" s="62">
        <v>3.9699999999999999E-2</v>
      </c>
      <c r="S36" s="62">
        <v>8.3900000000000002E-2</v>
      </c>
      <c r="T36" s="62">
        <v>-0.15959999999999999</v>
      </c>
      <c r="U36" s="62">
        <v>3.2899999999999999E-2</v>
      </c>
      <c r="V36" s="62">
        <v>-1.95E-2</v>
      </c>
      <c r="W36" s="62">
        <v>-8.1000000000000003E-2</v>
      </c>
      <c r="X36" s="62">
        <v>0.1313</v>
      </c>
      <c r="Y36" s="62">
        <v>0.1043</v>
      </c>
      <c r="Z36" s="62">
        <v>-4.9700000000000001E-2</v>
      </c>
      <c r="AA36" s="62">
        <v>0.11269999999999999</v>
      </c>
      <c r="AB36" s="62">
        <v>6.5699999999999995E-2</v>
      </c>
      <c r="AC36" s="62">
        <v>-2.7199999999999998E-2</v>
      </c>
      <c r="AD36" s="62">
        <v>0</v>
      </c>
      <c r="AE36" s="62">
        <v>6.83E-2</v>
      </c>
      <c r="AF36" s="62">
        <v>5.04E-2</v>
      </c>
      <c r="AG36" s="62">
        <v>-1.17E-2</v>
      </c>
      <c r="AH36" s="62">
        <v>-7.0800000000000002E-2</v>
      </c>
      <c r="AI36" s="62">
        <v>-2.7699999999999999E-2</v>
      </c>
      <c r="AJ36" s="62">
        <v>-0.1547</v>
      </c>
      <c r="AK36" s="62">
        <v>7.5800000000000006E-2</v>
      </c>
      <c r="AL36" s="62">
        <v>4.6899999999999997E-2</v>
      </c>
      <c r="AM36" s="62">
        <v>3.0000000000000001E-3</v>
      </c>
      <c r="AN36" s="62">
        <v>0.1792</v>
      </c>
      <c r="AO36" s="62">
        <v>-5.0000000000000001E-4</v>
      </c>
      <c r="AP36" s="62">
        <v>-3.9399999999999998E-2</v>
      </c>
      <c r="AQ36" s="62">
        <v>1.15E-2</v>
      </c>
      <c r="AR36" s="62">
        <v>-3.4700000000000002E-2</v>
      </c>
      <c r="AS36" s="62">
        <v>-5.3999999999999999E-2</v>
      </c>
      <c r="AT36" s="62">
        <v>2.3800000000000002E-2</v>
      </c>
      <c r="AU36" s="62">
        <v>-6.6900000000000001E-2</v>
      </c>
      <c r="AV36" s="62">
        <v>-4.2700000000000002E-2</v>
      </c>
      <c r="AW36" s="62">
        <v>-5.0200000000000002E-2</v>
      </c>
      <c r="AX36" s="62">
        <v>1.8200000000000001E-2</v>
      </c>
      <c r="AY36" s="62">
        <v>8.5900000000000004E-2</v>
      </c>
      <c r="AZ36" s="62">
        <v>1.83E-2</v>
      </c>
      <c r="BA36" s="62">
        <v>-8.5599999999999996E-2</v>
      </c>
      <c r="BB36" s="62">
        <v>-3.0099999999999998E-2</v>
      </c>
      <c r="BC36" s="62">
        <v>8.0299999999999996E-2</v>
      </c>
      <c r="BD36" s="62">
        <v>-5.9799999999999999E-2</v>
      </c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/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2"/>
      <c r="EF36" s="62"/>
      <c r="EG36" s="62"/>
      <c r="EH36" s="62"/>
      <c r="EI36" s="62"/>
      <c r="EJ36" s="62"/>
      <c r="EK36" s="62"/>
      <c r="EL36" s="62"/>
      <c r="EM36" s="62"/>
      <c r="EN36" s="62"/>
      <c r="EO36" s="62"/>
      <c r="EP36" s="62"/>
      <c r="EQ36" s="62"/>
      <c r="ER36" s="62"/>
    </row>
    <row r="37" spans="1:148">
      <c r="A37" s="104" t="s">
        <v>222</v>
      </c>
      <c r="B37" s="104" t="s">
        <v>223</v>
      </c>
      <c r="C37" s="62">
        <v>-5.9499999999999997E-2</v>
      </c>
      <c r="D37" s="62">
        <v>0.1152</v>
      </c>
      <c r="E37" s="62">
        <v>2.8899999999999999E-2</v>
      </c>
      <c r="F37" s="62">
        <v>6.6600000000000006E-2</v>
      </c>
      <c r="G37" s="62">
        <v>6.9900000000000004E-2</v>
      </c>
      <c r="H37" s="62">
        <v>-6.25E-2</v>
      </c>
      <c r="I37" s="62">
        <v>-3.7699999999999997E-2</v>
      </c>
      <c r="J37" s="62">
        <v>1.12E-2</v>
      </c>
      <c r="K37" s="62">
        <v>0.1007</v>
      </c>
      <c r="L37" s="62">
        <v>-7.0000000000000001E-3</v>
      </c>
      <c r="M37" s="62">
        <v>-0.1082</v>
      </c>
      <c r="N37" s="62">
        <v>2.4E-2</v>
      </c>
      <c r="O37" s="62">
        <v>-6.2700000000000006E-2</v>
      </c>
      <c r="P37" s="62">
        <v>-0.1174</v>
      </c>
      <c r="Q37" s="62">
        <v>-0.16189999999999999</v>
      </c>
      <c r="R37" s="62">
        <v>0.04</v>
      </c>
      <c r="S37" s="62">
        <v>0.1139</v>
      </c>
      <c r="T37" s="62">
        <v>-3.5700000000000003E-2</v>
      </c>
      <c r="U37" s="62">
        <v>9.7299999999999998E-2</v>
      </c>
      <c r="V37" s="62">
        <v>-9.0300000000000005E-2</v>
      </c>
      <c r="W37" s="62">
        <v>-1.2500000000000001E-2</v>
      </c>
      <c r="X37" s="62">
        <v>9.98E-2</v>
      </c>
      <c r="Y37" s="62">
        <v>8.3699999999999997E-2</v>
      </c>
      <c r="Z37" s="62">
        <v>-4.0000000000000002E-4</v>
      </c>
      <c r="AA37" s="62">
        <v>0.1517</v>
      </c>
      <c r="AB37" s="62">
        <v>1.6400000000000001E-2</v>
      </c>
      <c r="AC37" s="62">
        <v>6.2199999999999998E-2</v>
      </c>
      <c r="AD37" s="62">
        <v>2.8000000000000001E-2</v>
      </c>
      <c r="AE37" s="62">
        <v>4.1999999999999997E-3</v>
      </c>
      <c r="AF37" s="62">
        <v>0.1333</v>
      </c>
      <c r="AG37" s="62">
        <v>-1.83E-2</v>
      </c>
      <c r="AH37" s="62">
        <v>1.5800000000000002E-2</v>
      </c>
      <c r="AI37" s="62">
        <v>-2E-3</v>
      </c>
      <c r="AJ37" s="62">
        <v>-6.0600000000000001E-2</v>
      </c>
      <c r="AK37" s="62">
        <v>0.16220000000000001</v>
      </c>
      <c r="AL37" s="62">
        <v>4.2299999999999997E-2</v>
      </c>
      <c r="AM37" s="62">
        <v>7.1000000000000004E-3</v>
      </c>
      <c r="AN37" s="62">
        <v>3.27E-2</v>
      </c>
      <c r="AO37" s="62">
        <v>0.13800000000000001</v>
      </c>
      <c r="AP37" s="62">
        <v>-6.6000000000000003E-2</v>
      </c>
      <c r="AQ37" s="62">
        <v>1.66E-2</v>
      </c>
      <c r="AR37" s="62">
        <v>6.4299999999999996E-2</v>
      </c>
      <c r="AS37" s="62">
        <v>-3.2399999999999998E-2</v>
      </c>
      <c r="AT37" s="62">
        <v>9.1800000000000007E-2</v>
      </c>
      <c r="AU37" s="62">
        <v>8.4900000000000003E-2</v>
      </c>
      <c r="AV37" s="62">
        <v>-1.5E-3</v>
      </c>
      <c r="AW37" s="62">
        <v>-2.3E-3</v>
      </c>
      <c r="AX37" s="62">
        <v>-4.87E-2</v>
      </c>
      <c r="AY37" s="62">
        <v>6.2E-2</v>
      </c>
      <c r="AZ37" s="62">
        <v>-1.37E-2</v>
      </c>
      <c r="BA37" s="62">
        <v>-0.1183</v>
      </c>
      <c r="BB37" s="62">
        <v>4.8500000000000001E-2</v>
      </c>
      <c r="BC37" s="62">
        <v>1.0200000000000001E-2</v>
      </c>
      <c r="BD37" s="62">
        <v>-7.4200000000000002E-2</v>
      </c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/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2"/>
      <c r="EF37" s="62"/>
      <c r="EG37" s="62"/>
      <c r="EH37" s="62"/>
      <c r="EI37" s="62"/>
      <c r="EJ37" s="62"/>
      <c r="EK37" s="62"/>
      <c r="EL37" s="62"/>
      <c r="EM37" s="62"/>
      <c r="EN37" s="62"/>
      <c r="EO37" s="62"/>
      <c r="EP37" s="62"/>
      <c r="EQ37" s="62"/>
      <c r="ER37" s="62"/>
    </row>
    <row r="38" spans="1:148">
      <c r="A38" s="104" t="s">
        <v>225</v>
      </c>
      <c r="B38" s="104" t="s">
        <v>226</v>
      </c>
      <c r="C38" s="62">
        <v>-0.1179</v>
      </c>
      <c r="D38" s="62">
        <v>9.4399999999999998E-2</v>
      </c>
      <c r="E38" s="62">
        <v>5.0099999999999999E-2</v>
      </c>
      <c r="F38" s="62">
        <v>-6.0900000000000003E-2</v>
      </c>
      <c r="G38" s="62">
        <v>8.8900000000000007E-2</v>
      </c>
      <c r="H38" s="62">
        <v>-3.9199999999999999E-2</v>
      </c>
      <c r="I38" s="62">
        <v>-6.88E-2</v>
      </c>
      <c r="J38" s="62">
        <v>-6.3700000000000007E-2</v>
      </c>
      <c r="K38" s="62">
        <v>9.98E-2</v>
      </c>
      <c r="L38" s="62">
        <v>1.6899999999999998E-2</v>
      </c>
      <c r="M38" s="62">
        <v>-2.35E-2</v>
      </c>
      <c r="N38" s="62">
        <v>5.6000000000000001E-2</v>
      </c>
      <c r="O38" s="62">
        <v>1.5100000000000001E-2</v>
      </c>
      <c r="P38" s="62">
        <v>-9.9000000000000008E-3</v>
      </c>
      <c r="Q38" s="62">
        <v>-1.2699999999999999E-2</v>
      </c>
      <c r="R38" s="62">
        <v>2.06E-2</v>
      </c>
      <c r="S38" s="62">
        <v>-4.24E-2</v>
      </c>
      <c r="T38" s="62">
        <v>-8.09E-2</v>
      </c>
      <c r="U38" s="62">
        <v>6.6199999999999995E-2</v>
      </c>
      <c r="V38" s="62">
        <v>-7.1599999999999997E-2</v>
      </c>
      <c r="W38" s="62">
        <v>-8.9499999999999996E-2</v>
      </c>
      <c r="X38" s="62">
        <v>0.1008</v>
      </c>
      <c r="Y38" s="62">
        <v>-2.81E-2</v>
      </c>
      <c r="Z38" s="62">
        <v>-5.2900000000000003E-2</v>
      </c>
      <c r="AA38" s="62">
        <v>0.1885</v>
      </c>
      <c r="AB38" s="62">
        <v>2.9499999999999998E-2</v>
      </c>
      <c r="AC38" s="62">
        <v>3.7999999999999999E-2</v>
      </c>
      <c r="AD38" s="62">
        <v>3.3700000000000001E-2</v>
      </c>
      <c r="AE38" s="62">
        <v>4.9599999999999998E-2</v>
      </c>
      <c r="AF38" s="62">
        <v>4.19E-2</v>
      </c>
      <c r="AG38" s="62">
        <v>-5.3699999999999998E-2</v>
      </c>
      <c r="AH38" s="62">
        <v>-2.9399999999999999E-2</v>
      </c>
      <c r="AI38" s="62">
        <v>-9.5100000000000004E-2</v>
      </c>
      <c r="AJ38" s="62">
        <v>-6.0400000000000002E-2</v>
      </c>
      <c r="AK38" s="62">
        <v>0.16719999999999999</v>
      </c>
      <c r="AL38" s="62">
        <v>3.2800000000000003E-2</v>
      </c>
      <c r="AM38" s="62">
        <v>9.7000000000000003E-3</v>
      </c>
      <c r="AN38" s="62">
        <v>-0.16420000000000001</v>
      </c>
      <c r="AO38" s="62">
        <v>9.2999999999999999E-2</v>
      </c>
      <c r="AP38" s="62">
        <v>5.4000000000000003E-3</v>
      </c>
      <c r="AQ38" s="62">
        <v>9.3399999999999997E-2</v>
      </c>
      <c r="AR38" s="62">
        <v>-4.9000000000000002E-2</v>
      </c>
      <c r="AS38" s="62">
        <v>-9.9000000000000008E-3</v>
      </c>
      <c r="AT38" s="62">
        <v>3.3E-3</v>
      </c>
      <c r="AU38" s="62">
        <v>6.5299999999999997E-2</v>
      </c>
      <c r="AV38" s="62">
        <v>2.5899999999999999E-2</v>
      </c>
      <c r="AW38" s="62">
        <v>-2.7000000000000001E-3</v>
      </c>
      <c r="AX38" s="62">
        <v>2.6800000000000001E-2</v>
      </c>
      <c r="AY38" s="62">
        <v>4.8899999999999999E-2</v>
      </c>
      <c r="AZ38" s="62">
        <v>2.4199999999999999E-2</v>
      </c>
      <c r="BA38" s="62">
        <v>-3.0499999999999999E-2</v>
      </c>
      <c r="BB38" s="62">
        <v>-1.8700000000000001E-2</v>
      </c>
      <c r="BC38" s="62">
        <v>6.0699999999999997E-2</v>
      </c>
      <c r="BD38" s="62">
        <v>-2.5899999999999999E-2</v>
      </c>
      <c r="BE38" s="62"/>
      <c r="BF38" s="62"/>
      <c r="BG38" s="62"/>
      <c r="BH38" s="62"/>
      <c r="BI38" s="62"/>
      <c r="BJ38" s="62"/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/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2"/>
      <c r="EF38" s="62"/>
      <c r="EG38" s="62"/>
      <c r="EH38" s="62"/>
      <c r="EI38" s="62"/>
      <c r="EJ38" s="62"/>
      <c r="EK38" s="62"/>
      <c r="EL38" s="62"/>
      <c r="EM38" s="62"/>
      <c r="EN38" s="62"/>
      <c r="EO38" s="62"/>
      <c r="EP38" s="62"/>
      <c r="EQ38" s="62"/>
      <c r="ER38" s="62"/>
    </row>
    <row r="39" spans="1:148">
      <c r="A39" s="104" t="s">
        <v>40</v>
      </c>
      <c r="B39" s="104" t="s">
        <v>41</v>
      </c>
      <c r="C39" s="62">
        <v>0.10539999999999999</v>
      </c>
      <c r="D39" s="62">
        <v>5.8900000000000001E-2</v>
      </c>
      <c r="E39" s="62">
        <v>0.111</v>
      </c>
      <c r="F39" s="62">
        <v>4.6800000000000001E-2</v>
      </c>
      <c r="G39" s="62">
        <v>1.4E-2</v>
      </c>
      <c r="H39" s="62">
        <v>5.8799999999999998E-2</v>
      </c>
      <c r="I39" s="62">
        <v>0.10290000000000001</v>
      </c>
      <c r="J39" s="62">
        <v>0.10249999999999999</v>
      </c>
      <c r="K39" s="62">
        <v>-8.3199999999999996E-2</v>
      </c>
      <c r="L39" s="62">
        <v>8.4500000000000006E-2</v>
      </c>
      <c r="M39" s="62">
        <v>1.2999999999999999E-3</v>
      </c>
      <c r="N39" s="62">
        <v>1.01E-2</v>
      </c>
      <c r="O39" s="62">
        <v>-0.15920000000000001</v>
      </c>
      <c r="P39" s="62">
        <v>7.9000000000000008E-3</v>
      </c>
      <c r="Q39" s="62">
        <v>1.8499999999999999E-2</v>
      </c>
      <c r="R39" s="62">
        <v>-0.1016</v>
      </c>
      <c r="S39" s="62">
        <v>-1.5100000000000001E-2</v>
      </c>
      <c r="T39" s="62">
        <v>-0.14949999999999999</v>
      </c>
      <c r="U39" s="62">
        <v>0.21840000000000001</v>
      </c>
      <c r="V39" s="62">
        <v>-0.12529999999999999</v>
      </c>
      <c r="W39" s="62">
        <v>-0.1053</v>
      </c>
      <c r="X39" s="62">
        <v>0.1024</v>
      </c>
      <c r="Y39" s="62">
        <v>0.17730000000000001</v>
      </c>
      <c r="Z39" s="62">
        <v>-0.1021</v>
      </c>
      <c r="AA39" s="62">
        <v>0.1961</v>
      </c>
      <c r="AB39" s="62">
        <v>-2.8799999999999999E-2</v>
      </c>
      <c r="AC39" s="62">
        <v>7.0499999999999993E-2</v>
      </c>
      <c r="AD39" s="62">
        <v>-7.9899999999999999E-2</v>
      </c>
      <c r="AE39" s="62">
        <v>0.1709</v>
      </c>
      <c r="AF39" s="62">
        <v>-1.2699999999999999E-2</v>
      </c>
      <c r="AG39" s="62">
        <v>-1.6299999999999999E-2</v>
      </c>
      <c r="AH39" s="62">
        <v>-6.5799999999999997E-2</v>
      </c>
      <c r="AI39" s="62">
        <v>-8.0299999999999996E-2</v>
      </c>
      <c r="AJ39" s="62">
        <v>1.11E-2</v>
      </c>
      <c r="AK39" s="62">
        <v>0.10489999999999999</v>
      </c>
      <c r="AL39" s="62">
        <v>9.4200000000000006E-2</v>
      </c>
      <c r="AM39" s="62">
        <v>0.1709</v>
      </c>
      <c r="AN39" s="62">
        <v>9.2499999999999999E-2</v>
      </c>
      <c r="AO39" s="62">
        <v>2.4899999999999999E-2</v>
      </c>
      <c r="AP39" s="62">
        <v>-6.4699999999999994E-2</v>
      </c>
      <c r="AQ39" s="62">
        <v>4.58E-2</v>
      </c>
      <c r="AR39" s="62">
        <v>0.10730000000000001</v>
      </c>
      <c r="AS39" s="62">
        <v>-0.1163</v>
      </c>
      <c r="AT39" s="62">
        <v>-4.53E-2</v>
      </c>
      <c r="AU39" s="62">
        <v>-8.1799999999999998E-2</v>
      </c>
      <c r="AV39" s="62">
        <v>-0.16489999999999999</v>
      </c>
      <c r="AW39" s="62">
        <v>5.9900000000000002E-2</v>
      </c>
      <c r="AX39" s="62">
        <v>3.0800000000000001E-2</v>
      </c>
      <c r="AY39" s="62">
        <v>6.4799999999999996E-2</v>
      </c>
      <c r="AZ39" s="62">
        <v>-5.8999999999999997E-2</v>
      </c>
      <c r="BA39" s="62">
        <v>-0.107</v>
      </c>
      <c r="BB39" s="62">
        <v>-3.5799999999999998E-2</v>
      </c>
      <c r="BC39" s="62">
        <v>0.1226</v>
      </c>
      <c r="BD39" s="62">
        <v>3.6200000000000003E-2</v>
      </c>
      <c r="BE39" s="62"/>
      <c r="BF39" s="62"/>
      <c r="BG39" s="62"/>
      <c r="BH39" s="62"/>
      <c r="BI39" s="62"/>
      <c r="BJ39" s="62"/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/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62"/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2"/>
      <c r="EF39" s="62"/>
      <c r="EG39" s="62"/>
      <c r="EH39" s="62"/>
      <c r="EI39" s="62"/>
      <c r="EJ39" s="62"/>
      <c r="EK39" s="62"/>
      <c r="EL39" s="62"/>
      <c r="EM39" s="62"/>
      <c r="EN39" s="62"/>
      <c r="EO39" s="62"/>
      <c r="EP39" s="62"/>
      <c r="EQ39" s="62"/>
      <c r="ER39" s="62"/>
    </row>
    <row r="40" spans="1:148">
      <c r="A40" s="104" t="s">
        <v>233</v>
      </c>
      <c r="B40" s="104" t="s">
        <v>234</v>
      </c>
      <c r="C40" s="62">
        <v>5.4600000000000003E-2</v>
      </c>
      <c r="D40" s="62">
        <v>9.4399999999999998E-2</v>
      </c>
      <c r="E40" s="62">
        <v>7.7999999999999996E-3</v>
      </c>
      <c r="F40" s="62">
        <v>-7.8100000000000003E-2</v>
      </c>
      <c r="G40" s="62">
        <v>-2.8E-3</v>
      </c>
      <c r="H40" s="62">
        <v>2.07E-2</v>
      </c>
      <c r="I40" s="62">
        <v>-5.3800000000000001E-2</v>
      </c>
      <c r="J40" s="62">
        <v>0.1229</v>
      </c>
      <c r="K40" s="62">
        <v>-1.5299999999999999E-2</v>
      </c>
      <c r="L40" s="62">
        <v>0.13320000000000001</v>
      </c>
      <c r="M40" s="62">
        <v>-6.7999999999999996E-3</v>
      </c>
      <c r="N40" s="62">
        <v>1.6799999999999999E-2</v>
      </c>
      <c r="O40" s="62">
        <v>-0.10299999999999999</v>
      </c>
      <c r="P40" s="62">
        <v>-0.1678</v>
      </c>
      <c r="Q40" s="62">
        <v>1.77E-2</v>
      </c>
      <c r="R40" s="62">
        <v>-0.1172</v>
      </c>
      <c r="S40" s="62">
        <v>6.8599999999999994E-2</v>
      </c>
      <c r="T40" s="62">
        <v>-0.20280000000000001</v>
      </c>
      <c r="U40" s="62">
        <v>0.15179999999999999</v>
      </c>
      <c r="V40" s="62">
        <v>-8.6099999999999996E-2</v>
      </c>
      <c r="W40" s="62">
        <v>-8.0199999999999994E-2</v>
      </c>
      <c r="X40" s="62">
        <v>0.10290000000000001</v>
      </c>
      <c r="Y40" s="62">
        <v>0.3044</v>
      </c>
      <c r="Z40" s="62">
        <v>-0.11600000000000001</v>
      </c>
      <c r="AA40" s="62">
        <v>0.16109999999999999</v>
      </c>
      <c r="AB40" s="62">
        <v>2.23E-2</v>
      </c>
      <c r="AC40" s="62">
        <v>0.12590000000000001</v>
      </c>
      <c r="AD40" s="62">
        <v>-0.12559999999999999</v>
      </c>
      <c r="AE40" s="62">
        <v>5.6300000000000003E-2</v>
      </c>
      <c r="AF40" s="62">
        <v>8.4699999999999998E-2</v>
      </c>
      <c r="AG40" s="62">
        <v>5.8000000000000003E-2</v>
      </c>
      <c r="AH40" s="62">
        <v>-0.1729</v>
      </c>
      <c r="AI40" s="62">
        <v>-5.1499999999999997E-2</v>
      </c>
      <c r="AJ40" s="62">
        <v>-0.1188</v>
      </c>
      <c r="AK40" s="62">
        <v>0.29189999999999999</v>
      </c>
      <c r="AL40" s="62">
        <v>6.0299999999999999E-2</v>
      </c>
      <c r="AM40" s="62">
        <v>-0.1119</v>
      </c>
      <c r="AN40" s="62">
        <v>-2.9999999999999997E-4</v>
      </c>
      <c r="AO40" s="62">
        <v>-5.4199999999999998E-2</v>
      </c>
      <c r="AP40" s="62">
        <v>3.5799999999999998E-2</v>
      </c>
      <c r="AQ40" s="62">
        <v>0.13539999999999999</v>
      </c>
      <c r="AR40" s="62">
        <v>-7.3999999999999996E-2</v>
      </c>
      <c r="AS40" s="62">
        <v>-5.8900000000000001E-2</v>
      </c>
      <c r="AT40" s="62">
        <v>2.47E-2</v>
      </c>
      <c r="AU40" s="62">
        <v>-4.5600000000000002E-2</v>
      </c>
      <c r="AV40" s="62">
        <v>-7.4499999999999997E-2</v>
      </c>
      <c r="AW40" s="62">
        <v>5.2200000000000003E-2</v>
      </c>
      <c r="AX40" s="62">
        <v>2.4500000000000001E-2</v>
      </c>
      <c r="AY40" s="62">
        <v>3.5000000000000001E-3</v>
      </c>
      <c r="AZ40" s="62">
        <v>0.12620000000000001</v>
      </c>
      <c r="BA40" s="62">
        <v>-0.12670000000000001</v>
      </c>
      <c r="BB40" s="62">
        <v>-5.57E-2</v>
      </c>
      <c r="BC40" s="62">
        <v>0.18090000000000001</v>
      </c>
      <c r="BD40" s="62">
        <v>5.45E-2</v>
      </c>
      <c r="BE40" s="62"/>
      <c r="BF40" s="62"/>
      <c r="BG40" s="62"/>
      <c r="BH40" s="62"/>
      <c r="BI40" s="62"/>
      <c r="BJ40" s="62"/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/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62"/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62"/>
      <c r="ED40" s="62"/>
      <c r="EE40" s="62"/>
      <c r="EF40" s="62"/>
      <c r="EG40" s="62"/>
      <c r="EH40" s="62"/>
      <c r="EI40" s="62"/>
      <c r="EJ40" s="62"/>
      <c r="EK40" s="62"/>
      <c r="EL40" s="62"/>
      <c r="EM40" s="62"/>
      <c r="EN40" s="62"/>
      <c r="EO40" s="62"/>
      <c r="EP40" s="62"/>
      <c r="EQ40" s="62"/>
      <c r="ER40" s="62"/>
    </row>
    <row r="41" spans="1:148">
      <c r="A41" s="104" t="s">
        <v>28</v>
      </c>
      <c r="B41" s="104" t="s">
        <v>29</v>
      </c>
      <c r="C41" s="62">
        <v>-2.2800000000000001E-2</v>
      </c>
      <c r="D41" s="62">
        <v>-2.2700000000000001E-2</v>
      </c>
      <c r="E41" s="62">
        <v>1.8800000000000001E-2</v>
      </c>
      <c r="F41" s="62">
        <v>0.1139</v>
      </c>
      <c r="G41" s="62">
        <v>-1.6000000000000001E-3</v>
      </c>
      <c r="H41" s="62">
        <v>3.9300000000000002E-2</v>
      </c>
      <c r="I41" s="62">
        <v>1.6400000000000001E-2</v>
      </c>
      <c r="J41" s="62">
        <v>5.16E-2</v>
      </c>
      <c r="K41" s="62">
        <v>-7.7799999999999994E-2</v>
      </c>
      <c r="L41" s="62">
        <v>6.7799999999999999E-2</v>
      </c>
      <c r="M41" s="62">
        <v>-9.1999999999999998E-2</v>
      </c>
      <c r="N41" s="62">
        <v>0.1022</v>
      </c>
      <c r="O41" s="62">
        <v>-0.1116</v>
      </c>
      <c r="P41" s="62">
        <v>-9.5399999999999999E-2</v>
      </c>
      <c r="Q41" s="62">
        <v>2.2000000000000001E-3</v>
      </c>
      <c r="R41" s="62">
        <v>-4.5900000000000003E-2</v>
      </c>
      <c r="S41" s="62">
        <v>-3.5000000000000001E-3</v>
      </c>
      <c r="T41" s="62">
        <v>-7.2700000000000001E-2</v>
      </c>
      <c r="U41" s="62">
        <v>5.2699999999999997E-2</v>
      </c>
      <c r="V41" s="62">
        <v>-6.4799999999999996E-2</v>
      </c>
      <c r="W41" s="62">
        <v>-2.4500000000000001E-2</v>
      </c>
      <c r="X41" s="62">
        <v>0.1709</v>
      </c>
      <c r="Y41" s="62">
        <v>9.0399999999999994E-2</v>
      </c>
      <c r="Z41" s="62">
        <v>-8.8900000000000007E-2</v>
      </c>
      <c r="AA41" s="62">
        <v>0.12609999999999999</v>
      </c>
      <c r="AB41" s="62">
        <v>-1.03E-2</v>
      </c>
      <c r="AC41" s="62">
        <v>8.14E-2</v>
      </c>
      <c r="AD41" s="62">
        <v>5.5800000000000002E-2</v>
      </c>
      <c r="AE41" s="62">
        <v>1.03E-2</v>
      </c>
      <c r="AF41" s="62">
        <v>2.81E-2</v>
      </c>
      <c r="AG41" s="62">
        <v>-1.04E-2</v>
      </c>
      <c r="AH41" s="62">
        <v>3.8899999999999997E-2</v>
      </c>
      <c r="AI41" s="62">
        <v>-5.1999999999999998E-2</v>
      </c>
      <c r="AJ41" s="62">
        <v>3.6900000000000002E-2</v>
      </c>
      <c r="AK41" s="62">
        <v>0.15359999999999999</v>
      </c>
      <c r="AL41" s="62">
        <v>-4.4699999999999997E-2</v>
      </c>
      <c r="AM41" s="62">
        <v>0.14710000000000001</v>
      </c>
      <c r="AN41" s="62">
        <v>8.3900000000000002E-2</v>
      </c>
      <c r="AO41" s="62">
        <v>4.1200000000000001E-2</v>
      </c>
      <c r="AP41" s="62">
        <v>-0.06</v>
      </c>
      <c r="AQ41" s="62">
        <v>2.3999999999999998E-3</v>
      </c>
      <c r="AR41" s="62">
        <v>0.1237</v>
      </c>
      <c r="AS41" s="62">
        <v>3.2500000000000001E-2</v>
      </c>
      <c r="AT41" s="62">
        <v>1.6899999999999998E-2</v>
      </c>
      <c r="AU41" s="62">
        <v>3.9199999999999999E-2</v>
      </c>
      <c r="AV41" s="62">
        <v>4.1700000000000001E-2</v>
      </c>
      <c r="AW41" s="62">
        <v>4.6399999999999997E-2</v>
      </c>
      <c r="AX41" s="62">
        <v>5.2299999999999999E-2</v>
      </c>
      <c r="AY41" s="62">
        <v>0.12889999999999999</v>
      </c>
      <c r="AZ41" s="62">
        <v>-6.0000000000000001E-3</v>
      </c>
      <c r="BA41" s="62">
        <v>-6.6000000000000003E-2</v>
      </c>
      <c r="BB41" s="62">
        <v>4.2000000000000003E-2</v>
      </c>
      <c r="BC41" s="62">
        <v>4.2299999999999997E-2</v>
      </c>
      <c r="BD41" s="62">
        <v>-3.2300000000000002E-2</v>
      </c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2"/>
      <c r="EF41" s="62"/>
      <c r="EG41" s="62"/>
      <c r="EH41" s="62"/>
      <c r="EI41" s="62"/>
      <c r="EJ41" s="62"/>
      <c r="EK41" s="62"/>
      <c r="EL41" s="62"/>
      <c r="EM41" s="62"/>
      <c r="EN41" s="62"/>
      <c r="EO41" s="62"/>
      <c r="EP41" s="62"/>
      <c r="EQ41" s="62"/>
      <c r="ER41" s="62"/>
    </row>
    <row r="42" spans="1:148" s="72" customFormat="1">
      <c r="A42" s="104" t="s">
        <v>238</v>
      </c>
      <c r="B42" s="104" t="s">
        <v>239</v>
      </c>
      <c r="C42" s="62">
        <v>9.5466666666666616E-2</v>
      </c>
      <c r="D42" s="62">
        <v>8.1304771178188989E-2</v>
      </c>
      <c r="E42" s="62">
        <v>0.1328230526789734</v>
      </c>
      <c r="F42" s="62">
        <v>4.3322734499205082E-2</v>
      </c>
      <c r="G42" s="62">
        <v>4.4190476190476197E-2</v>
      </c>
      <c r="H42" s="62">
        <v>1.3133892739875938E-2</v>
      </c>
      <c r="I42" s="62">
        <v>8.4803745048613627E-2</v>
      </c>
      <c r="J42" s="62">
        <v>1.8921161825726149E-2</v>
      </c>
      <c r="K42" s="62">
        <v>-5.131128848346634E-2</v>
      </c>
      <c r="L42" s="62">
        <v>2.2664835164835168E-2</v>
      </c>
      <c r="M42" s="62">
        <v>-5.6749496306245845E-2</v>
      </c>
      <c r="N42" s="62">
        <v>0.10128159487362047</v>
      </c>
      <c r="O42" s="62">
        <v>-3.5881687409083547E-2</v>
      </c>
      <c r="P42" s="62">
        <v>-6.2028499580888449E-2</v>
      </c>
      <c r="Q42" s="62">
        <v>-3.0026809651474525E-2</v>
      </c>
      <c r="R42" s="62">
        <v>3.7958356366316476E-2</v>
      </c>
      <c r="S42" s="62">
        <v>-2.1835611574649333E-2</v>
      </c>
      <c r="T42" s="62">
        <v>-0.25689655172413794</v>
      </c>
      <c r="U42" s="62">
        <v>0.10697276834778367</v>
      </c>
      <c r="V42" s="62">
        <v>-0.10976282404853836</v>
      </c>
      <c r="W42" s="62">
        <v>-8.1784386617100469E-2</v>
      </c>
      <c r="X42" s="62">
        <v>0.11740890688259115</v>
      </c>
      <c r="Y42" s="62">
        <v>5.6642512077294663E-2</v>
      </c>
      <c r="Z42" s="62">
        <v>4.3547834038175817E-2</v>
      </c>
      <c r="AA42" s="62">
        <v>0.15115005476451257</v>
      </c>
      <c r="AB42" s="62">
        <v>7.1931493815413916E-2</v>
      </c>
      <c r="AC42" s="62">
        <v>-7.1187644239304071E-2</v>
      </c>
      <c r="AD42" s="62">
        <v>1.9113149847095072E-3</v>
      </c>
      <c r="AE42" s="62">
        <v>-1.1827546737886389E-2</v>
      </c>
      <c r="AF42" s="62">
        <v>7.5868725868725867E-2</v>
      </c>
      <c r="AG42" s="62">
        <v>0.10317602727435853</v>
      </c>
      <c r="AH42" s="62">
        <v>-2.1470396877033188E-2</v>
      </c>
      <c r="AI42" s="62">
        <v>-5.4521276595744586E-2</v>
      </c>
      <c r="AJ42" s="62">
        <v>-9.6343178621659697E-2</v>
      </c>
      <c r="AK42" s="62">
        <v>0.16361867704280164</v>
      </c>
      <c r="AL42" s="62">
        <v>0.11452934291924417</v>
      </c>
      <c r="AM42" s="62">
        <v>-1.2301230123012199E-2</v>
      </c>
      <c r="AN42" s="62">
        <v>8.1409477521263651E-2</v>
      </c>
      <c r="AO42" s="62">
        <v>1.0252808988764101E-2</v>
      </c>
      <c r="AP42" s="62">
        <v>3.7953565966912128E-2</v>
      </c>
      <c r="AQ42" s="62">
        <v>7.9292793999464262E-2</v>
      </c>
      <c r="AR42" s="62">
        <v>-9.8783817324398032E-2</v>
      </c>
      <c r="AS42" s="62">
        <v>9.3913522445607175E-2</v>
      </c>
      <c r="AT42" s="62">
        <v>-4.5317220543806573E-3</v>
      </c>
      <c r="AU42" s="62">
        <v>3.3383915022761765E-2</v>
      </c>
      <c r="AV42" s="62">
        <v>1.5418502202643234E-2</v>
      </c>
      <c r="AW42" s="62">
        <v>4.0491684743311634E-2</v>
      </c>
      <c r="AX42" s="62">
        <v>-7.4125550150567583E-3</v>
      </c>
      <c r="AY42" s="62">
        <v>5.6942823803967271E-2</v>
      </c>
      <c r="AZ42" s="62">
        <v>6.7785383086774134E-2</v>
      </c>
      <c r="BA42" s="62">
        <v>-5.1902398676592187E-2</v>
      </c>
      <c r="BB42" s="62">
        <v>4.1439476553980337E-2</v>
      </c>
      <c r="BC42" s="62">
        <v>3.4973821989528829E-2</v>
      </c>
      <c r="BD42" s="62">
        <v>8.0938891137191122E-3</v>
      </c>
      <c r="BE42" s="62"/>
      <c r="BF42" s="62"/>
      <c r="BG42" s="62"/>
      <c r="BH42" s="62"/>
      <c r="BI42" s="62"/>
      <c r="BJ42" s="62"/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/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62"/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2"/>
      <c r="EF42" s="62"/>
      <c r="EG42" s="62"/>
      <c r="EH42" s="62"/>
      <c r="EI42" s="62"/>
      <c r="EJ42" s="62"/>
      <c r="EK42" s="62"/>
      <c r="EL42" s="62"/>
      <c r="EM42" s="62"/>
      <c r="EN42" s="62"/>
      <c r="EO42" s="62"/>
      <c r="EP42" s="62"/>
      <c r="EQ42" s="62"/>
      <c r="ER42" s="62"/>
    </row>
    <row r="43" spans="1:148" s="72" customFormat="1">
      <c r="A43" s="104" t="s">
        <v>244</v>
      </c>
      <c r="B43" s="104" t="s">
        <v>245</v>
      </c>
      <c r="C43" s="62">
        <v>-1.3751545117428933E-2</v>
      </c>
      <c r="D43" s="62">
        <v>6.1099796334012309E-2</v>
      </c>
      <c r="E43" s="62">
        <v>4.5917614055809824E-2</v>
      </c>
      <c r="F43" s="62">
        <v>-5.3077357425183581E-2</v>
      </c>
      <c r="G43" s="62">
        <v>-6.2611806797853563E-3</v>
      </c>
      <c r="H43" s="62">
        <v>-3.3003300330032835E-3</v>
      </c>
      <c r="I43" s="62">
        <v>-3.3112582781456784E-3</v>
      </c>
      <c r="J43" s="62">
        <v>-1.057082452431294E-2</v>
      </c>
      <c r="K43" s="62">
        <v>5.0366300366300109E-3</v>
      </c>
      <c r="L43" s="62">
        <v>-5.4214123006833613E-2</v>
      </c>
      <c r="M43" s="62">
        <v>-7.0648683365446344E-2</v>
      </c>
      <c r="N43" s="62">
        <v>6.7380787836903905E-2</v>
      </c>
      <c r="O43" s="62">
        <v>9.2910326966655785E-2</v>
      </c>
      <c r="P43" s="62">
        <v>-0.1224822274881516</v>
      </c>
      <c r="Q43" s="62">
        <v>-0.12641350210970467</v>
      </c>
      <c r="R43" s="62">
        <v>-2.6081916537867109E-2</v>
      </c>
      <c r="S43" s="62">
        <v>1.7456853798849488E-2</v>
      </c>
      <c r="T43" s="62">
        <v>-0.19038798986157146</v>
      </c>
      <c r="U43" s="62">
        <v>4.5514750150511755E-2</v>
      </c>
      <c r="V43" s="62">
        <v>-3.0980076010595391E-2</v>
      </c>
      <c r="W43" s="62">
        <v>-5.8711671024482978E-2</v>
      </c>
      <c r="X43" s="62">
        <v>0.14734848484848487</v>
      </c>
      <c r="Y43" s="62">
        <v>6.7789149334213678E-2</v>
      </c>
      <c r="Z43" s="62">
        <v>-4.3800886323817373E-2</v>
      </c>
      <c r="AA43" s="62">
        <v>0.12955378314291868</v>
      </c>
      <c r="AB43" s="62">
        <v>-7.4904580152671707E-2</v>
      </c>
      <c r="AC43" s="62">
        <v>-2.3723568849923051E-3</v>
      </c>
      <c r="AD43" s="62">
        <v>-3.1224152191894086E-2</v>
      </c>
      <c r="AE43" s="62">
        <v>-5.1974386339381048E-2</v>
      </c>
      <c r="AF43" s="62">
        <v>1.238320387256551E-3</v>
      </c>
      <c r="AG43" s="62">
        <v>9.6694400719586335E-2</v>
      </c>
      <c r="AH43" s="62">
        <v>-4.0598728726676317E-2</v>
      </c>
      <c r="AI43" s="62">
        <v>-8.206881812353059E-2</v>
      </c>
      <c r="AJ43" s="62">
        <v>1.3620488940628492E-2</v>
      </c>
      <c r="AK43" s="62">
        <v>-1.9524520500746396E-2</v>
      </c>
      <c r="AL43" s="62">
        <v>0.14279020733278666</v>
      </c>
      <c r="AM43" s="62">
        <v>-8.8560885608856096E-2</v>
      </c>
      <c r="AN43" s="62">
        <v>5.8816914080072016E-2</v>
      </c>
      <c r="AO43" s="62">
        <v>0.12437599575146036</v>
      </c>
      <c r="AP43" s="62">
        <v>-7.1320612129227259E-2</v>
      </c>
      <c r="AQ43" s="62">
        <v>-1.515613874478699E-2</v>
      </c>
      <c r="AR43" s="62">
        <v>-6.6618467258830708E-2</v>
      </c>
      <c r="AS43" s="62">
        <v>-4.6143631736195657E-2</v>
      </c>
      <c r="AT43" s="62">
        <v>6.3805104408352672E-2</v>
      </c>
      <c r="AU43" s="62">
        <v>3.7186477644492871E-2</v>
      </c>
      <c r="AV43" s="62">
        <v>-6.1192303648407033E-2</v>
      </c>
      <c r="AW43" s="62">
        <v>-4.9837607794825878E-2</v>
      </c>
      <c r="AX43" s="62">
        <v>9.4295143800092278E-4</v>
      </c>
      <c r="AY43" s="62">
        <v>9.7739048516250551E-2</v>
      </c>
      <c r="AZ43" s="62">
        <v>5.578202102553103E-2</v>
      </c>
      <c r="BA43" s="62">
        <v>-6.7364356838040998E-2</v>
      </c>
      <c r="BB43" s="62">
        <v>-2.7562915350256029E-2</v>
      </c>
      <c r="BC43" s="62">
        <v>-4.9966390320412363E-2</v>
      </c>
      <c r="BD43" s="62">
        <v>-1.2735849056603753E-2</v>
      </c>
      <c r="BE43" s="62"/>
      <c r="BF43" s="62"/>
      <c r="BG43" s="62"/>
      <c r="BH43" s="62"/>
      <c r="BI43" s="62"/>
      <c r="BJ43" s="62"/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/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62"/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62"/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62"/>
      <c r="ED43" s="62"/>
      <c r="EE43" s="62"/>
      <c r="EF43" s="62"/>
      <c r="EG43" s="62"/>
      <c r="EH43" s="62"/>
      <c r="EI43" s="62"/>
      <c r="EJ43" s="62"/>
      <c r="EK43" s="62"/>
      <c r="EL43" s="62"/>
      <c r="EM43" s="62"/>
      <c r="EN43" s="62"/>
      <c r="EO43" s="62"/>
      <c r="EP43" s="62"/>
      <c r="EQ43" s="62"/>
      <c r="ER43" s="62"/>
    </row>
    <row r="44" spans="1:148">
      <c r="A44" s="104" t="s">
        <v>247</v>
      </c>
      <c r="B44" s="104" t="s">
        <v>248</v>
      </c>
      <c r="C44" s="62">
        <v>-7.2999999999999995E-2</v>
      </c>
      <c r="D44" s="62">
        <v>-0.13439999999999999</v>
      </c>
      <c r="E44" s="62">
        <v>0.1275</v>
      </c>
      <c r="F44" s="62">
        <v>-1.5E-3</v>
      </c>
      <c r="G44" s="62">
        <v>-8.3000000000000004E-2</v>
      </c>
      <c r="H44" s="62">
        <v>3.3799999999999997E-2</v>
      </c>
      <c r="I44" s="62">
        <v>-5.5800000000000002E-2</v>
      </c>
      <c r="J44" s="62">
        <v>0.1002</v>
      </c>
      <c r="K44" s="62">
        <v>1.26E-2</v>
      </c>
      <c r="L44" s="62">
        <v>8.0399999999999999E-2</v>
      </c>
      <c r="M44" s="62">
        <v>-0.2092</v>
      </c>
      <c r="N44" s="62">
        <v>-9.0899999999999995E-2</v>
      </c>
      <c r="O44" s="62">
        <v>-0.1158</v>
      </c>
      <c r="P44" s="62">
        <v>0.2298</v>
      </c>
      <c r="Q44" s="62">
        <v>-8.1699999999999995E-2</v>
      </c>
      <c r="R44" s="62">
        <v>-8.3199999999999996E-2</v>
      </c>
      <c r="S44" s="62">
        <v>-3.1800000000000002E-2</v>
      </c>
      <c r="T44" s="62">
        <v>-0.15310000000000001</v>
      </c>
      <c r="U44" s="62">
        <v>0.2631</v>
      </c>
      <c r="V44" s="62">
        <v>-1.55E-2</v>
      </c>
      <c r="W44" s="62">
        <v>-0.24</v>
      </c>
      <c r="X44" s="62">
        <v>4.65E-2</v>
      </c>
      <c r="Y44" s="62">
        <v>0.21060000000000001</v>
      </c>
      <c r="Z44" s="62">
        <v>0.1263</v>
      </c>
      <c r="AA44" s="62">
        <v>-1.6799999999999999E-2</v>
      </c>
      <c r="AB44" s="62">
        <v>8.6E-3</v>
      </c>
      <c r="AC44" s="62">
        <v>-8.6E-3</v>
      </c>
      <c r="AD44" s="62">
        <v>-6.3799999999999996E-2</v>
      </c>
      <c r="AE44" s="62">
        <v>6.4799999999999996E-2</v>
      </c>
      <c r="AF44" s="62">
        <v>-8.5000000000000006E-2</v>
      </c>
      <c r="AG44" s="62">
        <v>1E-4</v>
      </c>
      <c r="AH44" s="62">
        <v>-0.12479999999999999</v>
      </c>
      <c r="AI44" s="62">
        <v>-4.7300000000000002E-2</v>
      </c>
      <c r="AJ44" s="62">
        <v>3.8E-3</v>
      </c>
      <c r="AK44" s="62">
        <v>0.24629999999999999</v>
      </c>
      <c r="AL44" s="62">
        <v>0.13089999999999999</v>
      </c>
      <c r="AM44" s="62">
        <v>-8.2299999999999998E-2</v>
      </c>
      <c r="AN44" s="62">
        <v>-2.4E-2</v>
      </c>
      <c r="AO44" s="62">
        <v>5.0000000000000001E-3</v>
      </c>
      <c r="AP44" s="62">
        <v>-2.3900000000000001E-2</v>
      </c>
      <c r="AQ44" s="62">
        <v>2.3599999999999999E-2</v>
      </c>
      <c r="AR44" s="62">
        <v>-0.16370000000000001</v>
      </c>
      <c r="AS44" s="62">
        <v>5.5199999999999999E-2</v>
      </c>
      <c r="AT44" s="62">
        <v>-8.9899999999999994E-2</v>
      </c>
      <c r="AU44" s="62">
        <v>-4.48E-2</v>
      </c>
      <c r="AV44" s="62">
        <v>-0.1275</v>
      </c>
      <c r="AW44" s="62">
        <v>-0.15010000000000001</v>
      </c>
      <c r="AX44" s="62">
        <v>-0.10589999999999999</v>
      </c>
      <c r="AY44" s="62">
        <v>8.0999999999999996E-3</v>
      </c>
      <c r="AZ44" s="62">
        <v>2.5499999999999998E-2</v>
      </c>
      <c r="BA44" s="62">
        <v>-6.4299999999999996E-2</v>
      </c>
      <c r="BB44" s="62">
        <v>-7.5499999999999998E-2</v>
      </c>
      <c r="BC44" s="62">
        <v>0.18909999999999999</v>
      </c>
      <c r="BD44" s="62">
        <v>-8.3699999999999997E-2</v>
      </c>
      <c r="BE44" s="62"/>
      <c r="BF44" s="62"/>
      <c r="BG44" s="62"/>
      <c r="BH44" s="62"/>
      <c r="BI44" s="62"/>
      <c r="BJ44" s="62"/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/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62"/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62"/>
      <c r="ED44" s="62"/>
      <c r="EE44" s="62"/>
      <c r="EF44" s="62"/>
      <c r="EG44" s="62"/>
      <c r="EH44" s="62"/>
      <c r="EI44" s="62"/>
      <c r="EJ44" s="62"/>
      <c r="EK44" s="62"/>
      <c r="EL44" s="62"/>
      <c r="EM44" s="62"/>
      <c r="EN44" s="62"/>
      <c r="EO44" s="62"/>
      <c r="EP44" s="62"/>
      <c r="EQ44" s="62"/>
      <c r="ER44" s="62"/>
    </row>
    <row r="45" spans="1:148">
      <c r="A45" s="104" t="s">
        <v>176</v>
      </c>
      <c r="B45" s="104" t="s">
        <v>177</v>
      </c>
      <c r="C45" s="62">
        <v>-3.09E-2</v>
      </c>
      <c r="D45" s="62">
        <v>-6.7900000000000002E-2</v>
      </c>
      <c r="E45" s="62">
        <v>5.3699999999999998E-2</v>
      </c>
      <c r="F45" s="62">
        <v>2.2800000000000001E-2</v>
      </c>
      <c r="G45" s="62">
        <v>-2.1399999999999999E-2</v>
      </c>
      <c r="H45" s="62">
        <v>-6.5000000000000002E-2</v>
      </c>
      <c r="I45" s="62">
        <v>1.24E-2</v>
      </c>
      <c r="J45" s="62">
        <v>3.3000000000000002E-2</v>
      </c>
      <c r="K45" s="62">
        <v>-0.1726</v>
      </c>
      <c r="L45" s="62">
        <v>0.17630000000000001</v>
      </c>
      <c r="M45" s="62">
        <v>-3.04E-2</v>
      </c>
      <c r="N45" s="62">
        <v>5.11E-2</v>
      </c>
      <c r="O45" s="62">
        <v>-7.6E-3</v>
      </c>
      <c r="P45" s="62">
        <v>2E-3</v>
      </c>
      <c r="Q45" s="62">
        <v>-2.5499999999999998E-2</v>
      </c>
      <c r="R45" s="62">
        <v>0.1099</v>
      </c>
      <c r="S45" s="62">
        <v>2.3E-3</v>
      </c>
      <c r="T45" s="62">
        <v>-0.1028</v>
      </c>
      <c r="U45" s="62">
        <v>8.2600000000000007E-2</v>
      </c>
      <c r="V45" s="62">
        <v>-4.3E-3</v>
      </c>
      <c r="W45" s="62">
        <v>-7.7299999999999994E-2</v>
      </c>
      <c r="X45" s="62">
        <v>7.2300000000000003E-2</v>
      </c>
      <c r="Y45" s="62">
        <v>4.9099999999999998E-2</v>
      </c>
      <c r="Z45" s="62">
        <v>1.3899999999999999E-2</v>
      </c>
      <c r="AA45" s="62">
        <v>-5.9999999999999995E-4</v>
      </c>
      <c r="AB45" s="62">
        <v>1.12E-2</v>
      </c>
      <c r="AC45" s="62">
        <v>5.7099999999999998E-2</v>
      </c>
      <c r="AD45" s="62">
        <v>2.6100000000000002E-2</v>
      </c>
      <c r="AE45" s="62">
        <v>-3.2300000000000002E-2</v>
      </c>
      <c r="AF45" s="62">
        <v>4.82E-2</v>
      </c>
      <c r="AG45" s="62">
        <v>-2.3400000000000001E-2</v>
      </c>
      <c r="AH45" s="62">
        <v>-3.4799999999999998E-2</v>
      </c>
      <c r="AI45" s="62">
        <v>-3.3300000000000003E-2</v>
      </c>
      <c r="AJ45" s="62">
        <v>-8.9999999999999993E-3</v>
      </c>
      <c r="AK45" s="62">
        <v>8.0500000000000002E-2</v>
      </c>
      <c r="AL45" s="62">
        <v>4.6300000000000001E-2</v>
      </c>
      <c r="AM45" s="62">
        <v>-4.24E-2</v>
      </c>
      <c r="AN45" s="62">
        <v>-4.9700000000000001E-2</v>
      </c>
      <c r="AO45" s="62">
        <v>8.2400000000000001E-2</v>
      </c>
      <c r="AP45" s="62">
        <v>1.2999999999999999E-3</v>
      </c>
      <c r="AQ45" s="62">
        <v>5.1700000000000003E-2</v>
      </c>
      <c r="AR45" s="62">
        <v>1.1999999999999999E-3</v>
      </c>
      <c r="AS45" s="62">
        <v>3.5000000000000003E-2</v>
      </c>
      <c r="AT45" s="62">
        <v>5.2499999999999998E-2</v>
      </c>
      <c r="AU45" s="62">
        <v>8.3500000000000005E-2</v>
      </c>
      <c r="AV45" s="62">
        <v>-1.7600000000000001E-2</v>
      </c>
      <c r="AW45" s="62">
        <v>-1.14E-2</v>
      </c>
      <c r="AX45" s="62">
        <v>-1.41E-2</v>
      </c>
      <c r="AY45" s="62">
        <v>4.3099999999999999E-2</v>
      </c>
      <c r="AZ45" s="62">
        <v>2.2700000000000001E-2</v>
      </c>
      <c r="BA45" s="62">
        <v>7.0999999999999994E-2</v>
      </c>
      <c r="BB45" s="62">
        <v>6.3899999999999998E-2</v>
      </c>
      <c r="BC45" s="62">
        <v>1.2E-2</v>
      </c>
      <c r="BD45" s="62">
        <v>1.3100000000000001E-2</v>
      </c>
      <c r="BE45" s="62"/>
      <c r="BF45" s="62"/>
      <c r="BG45" s="62"/>
      <c r="BH45" s="62"/>
      <c r="BI45" s="62"/>
      <c r="BJ45" s="62"/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62"/>
      <c r="CB45" s="62"/>
      <c r="CC45" s="62"/>
      <c r="CD45" s="62"/>
      <c r="CE45" s="62"/>
      <c r="CF45" s="62"/>
      <c r="CG45" s="62"/>
      <c r="CH45" s="62"/>
      <c r="CI45" s="62"/>
      <c r="CJ45" s="62"/>
      <c r="CK45" s="62"/>
      <c r="CL45" s="62"/>
      <c r="CM45" s="62"/>
      <c r="CN45" s="62"/>
      <c r="CO45" s="62"/>
      <c r="CP45" s="62"/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2"/>
      <c r="DC45" s="62"/>
      <c r="DD45" s="62"/>
      <c r="DE45" s="62"/>
      <c r="DF45" s="62"/>
      <c r="DG45" s="62"/>
      <c r="DH45" s="62"/>
      <c r="DI45" s="62"/>
      <c r="DJ45" s="62"/>
      <c r="DK45" s="62"/>
      <c r="DL45" s="62"/>
      <c r="DM45" s="62"/>
      <c r="DN45" s="62"/>
      <c r="DO45" s="62"/>
      <c r="DP45" s="62"/>
      <c r="DQ45" s="62"/>
      <c r="DR45" s="62"/>
      <c r="DS45" s="62"/>
      <c r="DT45" s="62"/>
      <c r="DU45" s="62"/>
      <c r="DV45" s="62"/>
      <c r="DW45" s="62"/>
      <c r="DX45" s="62"/>
      <c r="DY45" s="62"/>
      <c r="DZ45" s="62"/>
      <c r="EA45" s="62"/>
      <c r="EB45" s="62"/>
      <c r="EC45" s="62"/>
      <c r="ED45" s="62"/>
      <c r="EE45" s="62"/>
      <c r="EF45" s="62"/>
      <c r="EG45" s="62"/>
      <c r="EH45" s="62"/>
      <c r="EI45" s="62"/>
      <c r="EJ45" s="62"/>
      <c r="EK45" s="62"/>
      <c r="EL45" s="62"/>
      <c r="EM45" s="62"/>
      <c r="EN45" s="62"/>
      <c r="EO45" s="62"/>
      <c r="EP45" s="62"/>
      <c r="EQ45" s="62"/>
      <c r="ER45" s="62"/>
    </row>
    <row r="46" spans="1:148">
      <c r="A46" s="104" t="s">
        <v>257</v>
      </c>
      <c r="B46" s="104" t="s">
        <v>258</v>
      </c>
      <c r="C46" s="62">
        <v>9.7000000000000003E-3</v>
      </c>
      <c r="D46" s="62">
        <v>-4.24E-2</v>
      </c>
      <c r="E46" s="62">
        <v>8.2699999999999996E-2</v>
      </c>
      <c r="F46" s="62">
        <v>-2.6599999999999999E-2</v>
      </c>
      <c r="G46" s="62">
        <v>-2.5499999999999998E-2</v>
      </c>
      <c r="H46" s="62">
        <v>-2.7799999999999998E-2</v>
      </c>
      <c r="I46" s="62">
        <v>1.66E-2</v>
      </c>
      <c r="J46" s="62">
        <v>-8.0999999999999996E-3</v>
      </c>
      <c r="K46" s="62">
        <v>-0.1381</v>
      </c>
      <c r="L46" s="62">
        <v>8.7999999999999995E-2</v>
      </c>
      <c r="M46" s="62">
        <v>-7.3099999999999998E-2</v>
      </c>
      <c r="N46" s="62">
        <v>5.0500000000000003E-2</v>
      </c>
      <c r="O46" s="62">
        <v>-1.04E-2</v>
      </c>
      <c r="P46" s="62">
        <v>-2.6800000000000001E-2</v>
      </c>
      <c r="Q46" s="62">
        <v>-8.0500000000000002E-2</v>
      </c>
      <c r="R46" s="62">
        <v>2.47E-2</v>
      </c>
      <c r="S46" s="62">
        <v>-2.8000000000000001E-2</v>
      </c>
      <c r="T46" s="62">
        <v>-0.1363</v>
      </c>
      <c r="U46" s="62">
        <v>-2.24E-2</v>
      </c>
      <c r="V46" s="62">
        <v>-4.3499999999999997E-2</v>
      </c>
      <c r="W46" s="62">
        <v>-0.1004</v>
      </c>
      <c r="X46" s="62">
        <v>6.9900000000000004E-2</v>
      </c>
      <c r="Y46" s="62">
        <v>0.1361</v>
      </c>
      <c r="Z46" s="62">
        <v>-2.0199999999999999E-2</v>
      </c>
      <c r="AA46" s="62">
        <v>0.1111</v>
      </c>
      <c r="AB46" s="62">
        <v>-1.37E-2</v>
      </c>
      <c r="AC46" s="62">
        <v>5.8299999999999998E-2</v>
      </c>
      <c r="AD46" s="62">
        <v>0.1017</v>
      </c>
      <c r="AE46" s="62">
        <v>-5.5E-2</v>
      </c>
      <c r="AF46" s="62">
        <v>5.2900000000000003E-2</v>
      </c>
      <c r="AG46" s="62">
        <v>0.05</v>
      </c>
      <c r="AH46" s="62">
        <v>-9.9000000000000008E-3</v>
      </c>
      <c r="AI46" s="62">
        <v>-6.2799999999999995E-2</v>
      </c>
      <c r="AJ46" s="62">
        <v>2.8899999999999999E-2</v>
      </c>
      <c r="AK46" s="62">
        <v>8.3199999999999996E-2</v>
      </c>
      <c r="AL46" s="62">
        <v>3.7600000000000001E-2</v>
      </c>
      <c r="AM46" s="62">
        <v>-2.64E-2</v>
      </c>
      <c r="AN46" s="62">
        <v>-7.22E-2</v>
      </c>
      <c r="AO46" s="62">
        <v>4.0099999999999997E-2</v>
      </c>
      <c r="AP46" s="62">
        <v>1.01E-2</v>
      </c>
      <c r="AQ46" s="62">
        <v>7.6899999999999996E-2</v>
      </c>
      <c r="AR46" s="62">
        <v>-2.4400000000000002E-2</v>
      </c>
      <c r="AS46" s="62">
        <v>4.8800000000000003E-2</v>
      </c>
      <c r="AT46" s="62">
        <v>4.0899999999999999E-2</v>
      </c>
      <c r="AU46" s="62">
        <v>4.53E-2</v>
      </c>
      <c r="AV46" s="62">
        <v>-2.86E-2</v>
      </c>
      <c r="AW46" s="62">
        <v>-2.3E-2</v>
      </c>
      <c r="AX46" s="62">
        <v>1.12E-2</v>
      </c>
      <c r="AY46" s="62">
        <v>2.8400000000000002E-2</v>
      </c>
      <c r="AZ46" s="62">
        <v>2.7699999999999999E-2</v>
      </c>
      <c r="BA46" s="62">
        <v>6.2E-2</v>
      </c>
      <c r="BB46" s="62">
        <v>1.9599999999999999E-2</v>
      </c>
      <c r="BC46" s="62">
        <v>5.7700000000000001E-2</v>
      </c>
      <c r="BD46" s="62">
        <v>-3.5999999999999999E-3</v>
      </c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62"/>
      <c r="CD46" s="62"/>
      <c r="CE46" s="62"/>
      <c r="CF46" s="62"/>
      <c r="CG46" s="62"/>
      <c r="CH46" s="62"/>
      <c r="CI46" s="62"/>
      <c r="CJ46" s="62"/>
      <c r="CK46" s="62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2"/>
      <c r="EF46" s="62"/>
      <c r="EG46" s="62"/>
      <c r="EH46" s="62"/>
      <c r="EI46" s="62"/>
      <c r="EJ46" s="62"/>
      <c r="EK46" s="62"/>
      <c r="EL46" s="62"/>
      <c r="EM46" s="62"/>
      <c r="EN46" s="62"/>
      <c r="EO46" s="62"/>
      <c r="EP46" s="62"/>
      <c r="EQ46" s="62"/>
      <c r="ER46" s="62"/>
    </row>
    <row r="47" spans="1:148">
      <c r="A47" s="104" t="s">
        <v>145</v>
      </c>
      <c r="B47" s="104" t="s">
        <v>146</v>
      </c>
      <c r="C47" s="62">
        <v>-1.2699999999999999E-2</v>
      </c>
      <c r="D47" s="62">
        <v>1.5599999999999999E-2</v>
      </c>
      <c r="E47" s="62">
        <v>0.14829999999999999</v>
      </c>
      <c r="F47" s="62">
        <v>-3.6999999999999998E-2</v>
      </c>
      <c r="G47" s="62">
        <v>6.4899999999999999E-2</v>
      </c>
      <c r="H47" s="62">
        <v>4.5199999999999997E-2</v>
      </c>
      <c r="I47" s="62">
        <v>-1.7999999999999999E-2</v>
      </c>
      <c r="J47" s="62">
        <v>2.7699999999999999E-2</v>
      </c>
      <c r="K47" s="62">
        <v>-3.61E-2</v>
      </c>
      <c r="L47" s="62">
        <v>-7.0099999999999996E-2</v>
      </c>
      <c r="M47" s="62">
        <v>-3.0800000000000001E-2</v>
      </c>
      <c r="N47" s="62">
        <v>4.3499999999999997E-2</v>
      </c>
      <c r="O47" s="62">
        <v>2.75E-2</v>
      </c>
      <c r="P47" s="62">
        <v>-5.3199999999999997E-2</v>
      </c>
      <c r="Q47" s="62">
        <v>6.7799999999999999E-2</v>
      </c>
      <c r="R47" s="62">
        <v>5.7000000000000002E-2</v>
      </c>
      <c r="S47" s="62">
        <v>0.1077</v>
      </c>
      <c r="T47" s="62">
        <v>-1.0800000000000001E-2</v>
      </c>
      <c r="U47" s="62">
        <v>-1.8599999999999998E-2</v>
      </c>
      <c r="V47" s="62">
        <v>1.38E-2</v>
      </c>
      <c r="W47" s="62">
        <v>-8.0299999999999996E-2</v>
      </c>
      <c r="X47" s="62">
        <v>0.10639999999999999</v>
      </c>
      <c r="Y47" s="62">
        <v>1.7999999999999999E-2</v>
      </c>
      <c r="Z47" s="62">
        <v>-4.3200000000000002E-2</v>
      </c>
      <c r="AA47" s="62">
        <v>9.8199999999999996E-2</v>
      </c>
      <c r="AB47" s="62">
        <v>3.7400000000000003E-2</v>
      </c>
      <c r="AC47" s="62">
        <v>5.3900000000000003E-2</v>
      </c>
      <c r="AD47" s="62">
        <v>3.8999999999999998E-3</v>
      </c>
      <c r="AE47" s="62">
        <v>-4.6300000000000001E-2</v>
      </c>
      <c r="AF47" s="62">
        <v>-3.8899999999999997E-2</v>
      </c>
      <c r="AG47" s="62">
        <v>-9.5999999999999992E-3</v>
      </c>
      <c r="AH47" s="62">
        <v>-2.9999999999999997E-4</v>
      </c>
      <c r="AI47" s="62">
        <v>1.2999999999999999E-3</v>
      </c>
      <c r="AJ47" s="62">
        <v>3.49E-2</v>
      </c>
      <c r="AK47" s="62">
        <v>7.3499999999999996E-2</v>
      </c>
      <c r="AL47" s="62">
        <v>-1.09E-2</v>
      </c>
      <c r="AM47" s="62">
        <v>4.1599999999999998E-2</v>
      </c>
      <c r="AN47" s="62">
        <v>-3.09E-2</v>
      </c>
      <c r="AO47" s="62">
        <v>2.1899999999999999E-2</v>
      </c>
      <c r="AP47" s="62">
        <v>-1.01E-2</v>
      </c>
      <c r="AQ47" s="62">
        <v>4.24E-2</v>
      </c>
      <c r="AR47" s="62">
        <v>4.8300000000000003E-2</v>
      </c>
      <c r="AS47" s="62">
        <v>2.7300000000000001E-2</v>
      </c>
      <c r="AT47" s="62">
        <v>6.6500000000000004E-2</v>
      </c>
      <c r="AU47" s="62">
        <v>2.8400000000000002E-2</v>
      </c>
      <c r="AV47" s="62">
        <v>5.1499999999999997E-2</v>
      </c>
      <c r="AW47" s="62">
        <v>8.8599999999999998E-2</v>
      </c>
      <c r="AX47" s="62">
        <v>-4.4299999999999999E-2</v>
      </c>
      <c r="AY47" s="62">
        <v>0.1166</v>
      </c>
      <c r="AZ47" s="62">
        <v>7.6300000000000007E-2</v>
      </c>
      <c r="BA47" s="62">
        <v>-1.18E-2</v>
      </c>
      <c r="BB47" s="62">
        <v>-5.4699999999999999E-2</v>
      </c>
      <c r="BC47" s="62">
        <v>5.5500000000000001E-2</v>
      </c>
      <c r="BD47" s="62">
        <v>-7.0900000000000005E-2</v>
      </c>
      <c r="BE47" s="62"/>
      <c r="BF47" s="62"/>
      <c r="BG47" s="62"/>
      <c r="BH47" s="62"/>
      <c r="BI47" s="62"/>
      <c r="BJ47" s="62"/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/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62"/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62"/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B47" s="62"/>
      <c r="EC47" s="62"/>
      <c r="ED47" s="62"/>
      <c r="EE47" s="62"/>
      <c r="EF47" s="62"/>
      <c r="EG47" s="62"/>
      <c r="EH47" s="62"/>
      <c r="EI47" s="62"/>
      <c r="EJ47" s="62"/>
      <c r="EK47" s="62"/>
      <c r="EL47" s="62"/>
      <c r="EM47" s="62"/>
      <c r="EN47" s="62"/>
      <c r="EO47" s="62"/>
      <c r="EP47" s="62"/>
      <c r="EQ47" s="62"/>
      <c r="ER47" s="62"/>
    </row>
    <row r="48" spans="1:148">
      <c r="A48" s="104" t="s">
        <v>262</v>
      </c>
      <c r="B48" s="104" t="s">
        <v>263</v>
      </c>
      <c r="C48" s="62">
        <v>4.9099999999999998E-2</v>
      </c>
      <c r="D48" s="62">
        <v>0.13519999999999999</v>
      </c>
      <c r="E48" s="62">
        <v>7.2099999999999997E-2</v>
      </c>
      <c r="F48" s="62">
        <v>3.5000000000000003E-2</v>
      </c>
      <c r="G48" s="62">
        <v>3.04E-2</v>
      </c>
      <c r="H48" s="62">
        <v>7.6E-3</v>
      </c>
      <c r="I48" s="62">
        <v>-1.3299999999999999E-2</v>
      </c>
      <c r="J48" s="62">
        <v>4.3200000000000002E-2</v>
      </c>
      <c r="K48" s="62">
        <v>4.9399999999999999E-2</v>
      </c>
      <c r="L48" s="62">
        <v>-5.4999999999999997E-3</v>
      </c>
      <c r="M48" s="62">
        <v>-1.38E-2</v>
      </c>
      <c r="N48" s="62">
        <v>3.61E-2</v>
      </c>
      <c r="O48" s="62">
        <v>8.3999999999999995E-3</v>
      </c>
      <c r="P48" s="62">
        <v>-1E-3</v>
      </c>
      <c r="Q48" s="62">
        <v>-7.3400000000000007E-2</v>
      </c>
      <c r="R48" s="62">
        <v>4.2000000000000003E-2</v>
      </c>
      <c r="S48" s="62">
        <v>-0.1164</v>
      </c>
      <c r="T48" s="62">
        <v>-8.2900000000000001E-2</v>
      </c>
      <c r="U48" s="62">
        <v>0.17269999999999999</v>
      </c>
      <c r="V48" s="62">
        <v>-6.0699999999999997E-2</v>
      </c>
      <c r="W48" s="62">
        <v>3.0999999999999999E-3</v>
      </c>
      <c r="X48" s="62">
        <v>0.1603</v>
      </c>
      <c r="Y48" s="62">
        <v>9.98E-2</v>
      </c>
      <c r="Z48" s="62">
        <v>-4.7800000000000002E-2</v>
      </c>
      <c r="AA48" s="62">
        <v>8.9499999999999996E-2</v>
      </c>
      <c r="AB48" s="62">
        <v>0.16220000000000001</v>
      </c>
      <c r="AC48" s="62">
        <v>-4.5999999999999999E-2</v>
      </c>
      <c r="AD48" s="62">
        <v>3.2599999999999997E-2</v>
      </c>
      <c r="AE48" s="62">
        <v>-6.4799999999999996E-2</v>
      </c>
      <c r="AF48" s="62">
        <v>6.0299999999999999E-2</v>
      </c>
      <c r="AG48" s="62">
        <v>3.9899999999999998E-2</v>
      </c>
      <c r="AH48" s="62">
        <v>-1.8499999999999999E-2</v>
      </c>
      <c r="AI48" s="62">
        <v>-4.1999999999999997E-3</v>
      </c>
      <c r="AJ48" s="62">
        <v>-5.9999999999999995E-4</v>
      </c>
      <c r="AK48" s="62">
        <v>8.1699999999999995E-2</v>
      </c>
      <c r="AL48" s="62">
        <v>8.2799999999999999E-2</v>
      </c>
      <c r="AM48" s="62">
        <v>0.10829999999999999</v>
      </c>
      <c r="AN48" s="62">
        <v>5.0299999999999997E-2</v>
      </c>
      <c r="AO48" s="62">
        <v>3.3399999999999999E-2</v>
      </c>
      <c r="AP48" s="62">
        <v>2.7699999999999999E-2</v>
      </c>
      <c r="AQ48" s="62">
        <v>-1.01E-2</v>
      </c>
      <c r="AR48" s="62">
        <v>-3.3300000000000003E-2</v>
      </c>
      <c r="AS48" s="62">
        <v>6.6E-3</v>
      </c>
      <c r="AT48" s="62">
        <v>2.9000000000000001E-2</v>
      </c>
      <c r="AU48" s="62">
        <v>-1.23E-2</v>
      </c>
      <c r="AV48" s="62">
        <v>-4.8999999999999998E-3</v>
      </c>
      <c r="AW48" s="62">
        <v>5.0999999999999997E-2</v>
      </c>
      <c r="AX48" s="62">
        <v>2.8999999999999998E-3</v>
      </c>
      <c r="AY48" s="62">
        <v>-5.0000000000000001E-4</v>
      </c>
      <c r="AZ48" s="62">
        <v>-7.2400000000000006E-2</v>
      </c>
      <c r="BA48" s="62">
        <v>-9.1700000000000004E-2</v>
      </c>
      <c r="BB48" s="62">
        <v>2.9100000000000001E-2</v>
      </c>
      <c r="BC48" s="62">
        <v>7.4200000000000002E-2</v>
      </c>
      <c r="BD48" s="62">
        <v>-2.0999999999999999E-3</v>
      </c>
      <c r="BE48" s="62"/>
      <c r="BF48" s="62"/>
      <c r="BG48" s="62"/>
      <c r="BH48" s="62"/>
      <c r="BI48" s="62"/>
      <c r="BJ48" s="62"/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62"/>
      <c r="CB48" s="62"/>
      <c r="CC48" s="62"/>
      <c r="CD48" s="62"/>
      <c r="CE48" s="62"/>
      <c r="CF48" s="62"/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62"/>
      <c r="DV48" s="62"/>
      <c r="DW48" s="62"/>
      <c r="DX48" s="62"/>
      <c r="DY48" s="62"/>
      <c r="DZ48" s="62"/>
      <c r="EA48" s="62"/>
      <c r="EB48" s="62"/>
      <c r="EC48" s="62"/>
      <c r="ED48" s="62"/>
      <c r="EE48" s="62"/>
      <c r="EF48" s="62"/>
      <c r="EG48" s="62"/>
      <c r="EH48" s="62"/>
      <c r="EI48" s="62"/>
      <c r="EJ48" s="62"/>
      <c r="EK48" s="62"/>
      <c r="EL48" s="62"/>
      <c r="EM48" s="62"/>
      <c r="EN48" s="62"/>
      <c r="EO48" s="62"/>
      <c r="EP48" s="62"/>
      <c r="EQ48" s="62"/>
      <c r="ER48" s="62"/>
    </row>
    <row r="49" spans="1:148">
      <c r="A49" s="104" t="s">
        <v>265</v>
      </c>
      <c r="B49" s="104" t="s">
        <v>266</v>
      </c>
      <c r="C49" s="62">
        <v>-7.6600000000000001E-2</v>
      </c>
      <c r="D49" s="62">
        <v>-4.24E-2</v>
      </c>
      <c r="E49" s="62">
        <v>5.8999999999999997E-2</v>
      </c>
      <c r="F49" s="62">
        <v>5.1999999999999998E-3</v>
      </c>
      <c r="G49" s="62">
        <v>-5.67E-2</v>
      </c>
      <c r="H49" s="62">
        <v>6.0900000000000003E-2</v>
      </c>
      <c r="I49" s="62">
        <v>2.5600000000000001E-2</v>
      </c>
      <c r="J49" s="62">
        <v>2.07E-2</v>
      </c>
      <c r="K49" s="62">
        <v>-9.0499999999999997E-2</v>
      </c>
      <c r="L49" s="62">
        <v>5.4000000000000003E-3</v>
      </c>
      <c r="M49" s="62">
        <v>-1.1000000000000001E-3</v>
      </c>
      <c r="N49" s="62">
        <v>-1.04E-2</v>
      </c>
      <c r="O49" s="62">
        <v>4.2900000000000001E-2</v>
      </c>
      <c r="P49" s="62">
        <v>-6.9599999999999995E-2</v>
      </c>
      <c r="Q49" s="62">
        <v>-0.1009</v>
      </c>
      <c r="R49" s="62">
        <v>-0.1085</v>
      </c>
      <c r="S49" s="62">
        <v>-1.61E-2</v>
      </c>
      <c r="T49" s="62">
        <v>-0.1686</v>
      </c>
      <c r="U49" s="62">
        <v>0.10299999999999999</v>
      </c>
      <c r="V49" s="62">
        <v>-0.1696</v>
      </c>
      <c r="W49" s="62">
        <v>-0.188</v>
      </c>
      <c r="X49" s="62">
        <v>2.0500000000000001E-2</v>
      </c>
      <c r="Y49" s="62">
        <v>6.2600000000000003E-2</v>
      </c>
      <c r="Z49" s="62">
        <v>-7.4399999999999994E-2</v>
      </c>
      <c r="AA49" s="62">
        <v>0.17979999999999999</v>
      </c>
      <c r="AB49" s="62">
        <v>-7.6999999999999999E-2</v>
      </c>
      <c r="AC49" s="62">
        <v>-0.27650000000000002</v>
      </c>
      <c r="AD49" s="62">
        <v>0.13339999999999999</v>
      </c>
      <c r="AE49" s="62">
        <v>-8.7300000000000003E-2</v>
      </c>
      <c r="AF49" s="62">
        <v>4.2900000000000001E-2</v>
      </c>
      <c r="AG49" s="62">
        <v>0.1885</v>
      </c>
      <c r="AH49" s="62">
        <v>4.19E-2</v>
      </c>
      <c r="AI49" s="62">
        <v>2.6200000000000001E-2</v>
      </c>
      <c r="AJ49" s="62">
        <v>-4.4499999999999998E-2</v>
      </c>
      <c r="AK49" s="62">
        <v>0.1799</v>
      </c>
      <c r="AL49" s="62">
        <v>0.1157</v>
      </c>
      <c r="AM49" s="62">
        <v>3.8999999999999998E-3</v>
      </c>
      <c r="AN49" s="62">
        <v>-0.1002</v>
      </c>
      <c r="AO49" s="62">
        <v>5.7799999999999997E-2</v>
      </c>
      <c r="AP49" s="62">
        <v>-1.17E-2</v>
      </c>
      <c r="AQ49" s="62">
        <v>9.98E-2</v>
      </c>
      <c r="AR49" s="62">
        <v>-7.7399999999999997E-2</v>
      </c>
      <c r="AS49" s="62">
        <v>7.3599999999999999E-2</v>
      </c>
      <c r="AT49" s="62">
        <v>9.7799999999999998E-2</v>
      </c>
      <c r="AU49" s="62">
        <v>5.16E-2</v>
      </c>
      <c r="AV49" s="62">
        <v>-8.2600000000000007E-2</v>
      </c>
      <c r="AW49" s="62">
        <v>4.0899999999999999E-2</v>
      </c>
      <c r="AX49" s="62">
        <v>-6.4199999999999993E-2</v>
      </c>
      <c r="AY49" s="62">
        <v>2.7000000000000001E-3</v>
      </c>
      <c r="AZ49" s="62">
        <v>1.8700000000000001E-2</v>
      </c>
      <c r="BA49" s="62">
        <v>-0.1663</v>
      </c>
      <c r="BB49" s="62">
        <v>0.16739999999999999</v>
      </c>
      <c r="BC49" s="62">
        <v>3.0200000000000001E-2</v>
      </c>
      <c r="BD49" s="62">
        <v>4.1000000000000002E-2</v>
      </c>
      <c r="BE49" s="62"/>
      <c r="BF49" s="62"/>
      <c r="BG49" s="62"/>
      <c r="BH49" s="62"/>
      <c r="BI49" s="62"/>
      <c r="BJ49" s="62"/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62"/>
      <c r="CB49" s="62"/>
      <c r="CC49" s="62"/>
      <c r="CD49" s="62"/>
      <c r="CE49" s="62"/>
      <c r="CF49" s="62"/>
      <c r="CG49" s="62"/>
      <c r="CH49" s="62"/>
      <c r="CI49" s="62"/>
      <c r="CJ49" s="62"/>
      <c r="CK49" s="62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62"/>
      <c r="DF49" s="62"/>
      <c r="DG49" s="62"/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2"/>
      <c r="EF49" s="62"/>
      <c r="EG49" s="62"/>
      <c r="EH49" s="62"/>
      <c r="EI49" s="62"/>
      <c r="EJ49" s="62"/>
      <c r="EK49" s="62"/>
      <c r="EL49" s="62"/>
      <c r="EM49" s="62"/>
      <c r="EN49" s="62"/>
      <c r="EO49" s="62"/>
      <c r="EP49" s="62"/>
      <c r="EQ49" s="62"/>
      <c r="ER49" s="62"/>
    </row>
    <row r="50" spans="1:148">
      <c r="A50" s="104"/>
      <c r="B50" s="104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2"/>
      <c r="AC50" s="62"/>
      <c r="AD50" s="62"/>
      <c r="AE50" s="62"/>
      <c r="AF50" s="62"/>
      <c r="AG50" s="62"/>
      <c r="AH50" s="62"/>
      <c r="AI50" s="62"/>
      <c r="AJ50" s="62"/>
      <c r="AK50" s="62"/>
      <c r="AL50" s="62"/>
      <c r="AM50" s="62"/>
      <c r="AN50" s="62"/>
      <c r="AO50" s="62"/>
      <c r="AP50" s="62"/>
      <c r="AQ50" s="62"/>
      <c r="AR50" s="62"/>
      <c r="AS50" s="62"/>
      <c r="AT50" s="62"/>
      <c r="AU50" s="62"/>
      <c r="AV50" s="62"/>
      <c r="AW50" s="62"/>
      <c r="AX50" s="62"/>
      <c r="AY50" s="62"/>
      <c r="AZ50" s="62"/>
      <c r="BA50" s="62"/>
      <c r="BB50" s="62"/>
      <c r="BC50" s="62"/>
      <c r="BD50" s="62"/>
      <c r="BE50" s="62"/>
      <c r="BF50" s="62"/>
      <c r="BG50" s="62"/>
      <c r="BH50" s="62"/>
      <c r="BI50" s="62"/>
      <c r="BJ50" s="62"/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62"/>
      <c r="CB50" s="62"/>
      <c r="CC50" s="62"/>
      <c r="CD50" s="62"/>
      <c r="CE50" s="62"/>
      <c r="CF50" s="62"/>
      <c r="CG50" s="62"/>
      <c r="CH50" s="62"/>
      <c r="CI50" s="62"/>
      <c r="CJ50" s="62"/>
      <c r="CK50" s="62"/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  <c r="CY50" s="62"/>
      <c r="CZ50" s="62"/>
      <c r="DA50" s="62"/>
      <c r="DB50" s="62"/>
      <c r="DC50" s="62"/>
      <c r="DD50" s="62"/>
      <c r="DE50" s="62"/>
      <c r="DF50" s="62"/>
      <c r="DG50" s="62"/>
      <c r="DH50" s="62"/>
      <c r="DI50" s="62"/>
      <c r="DJ50" s="62"/>
      <c r="DK50" s="62"/>
      <c r="DL50" s="62"/>
      <c r="DM50" s="62"/>
      <c r="DN50" s="62"/>
      <c r="DO50" s="62"/>
      <c r="DP50" s="62"/>
      <c r="DQ50" s="62"/>
      <c r="DR50" s="62"/>
      <c r="DS50" s="62"/>
      <c r="DT50" s="62"/>
      <c r="DU50" s="62"/>
      <c r="DV50" s="62"/>
      <c r="DW50" s="62"/>
      <c r="DX50" s="62"/>
      <c r="DY50" s="62"/>
      <c r="DZ50" s="62"/>
      <c r="EA50" s="62"/>
      <c r="EB50" s="62"/>
      <c r="EC50" s="62"/>
      <c r="ED50" s="62"/>
      <c r="EE50" s="62"/>
      <c r="EF50" s="62"/>
      <c r="EG50" s="62"/>
      <c r="EH50" s="62"/>
      <c r="EI50" s="62"/>
      <c r="EJ50" s="62"/>
      <c r="EK50" s="62"/>
      <c r="EL50" s="62"/>
      <c r="EM50" s="62"/>
      <c r="EN50" s="62"/>
      <c r="EO50" s="62"/>
      <c r="EP50" s="62"/>
      <c r="EQ50" s="62"/>
      <c r="ER50" s="62"/>
    </row>
    <row r="51" spans="1:148">
      <c r="A51" s="104"/>
      <c r="B51" s="104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62"/>
      <c r="AB51" s="62"/>
      <c r="AC51" s="62"/>
      <c r="AD51" s="62"/>
      <c r="AE51" s="62"/>
      <c r="AF51" s="62"/>
      <c r="AG51" s="62"/>
      <c r="AH51" s="62"/>
      <c r="AI51" s="62"/>
      <c r="AJ51" s="62"/>
      <c r="AK51" s="62"/>
      <c r="AL51" s="62"/>
      <c r="AM51" s="62"/>
      <c r="AN51" s="62"/>
      <c r="AO51" s="62"/>
      <c r="AP51" s="62"/>
      <c r="AQ51" s="62"/>
      <c r="AR51" s="62"/>
      <c r="AS51" s="62"/>
      <c r="AT51" s="62"/>
      <c r="AU51" s="62"/>
      <c r="AV51" s="62"/>
      <c r="AW51" s="62"/>
      <c r="AX51" s="62"/>
      <c r="AY51" s="62"/>
      <c r="AZ51" s="62"/>
      <c r="BA51" s="62"/>
      <c r="BB51" s="62"/>
      <c r="BC51" s="62"/>
      <c r="BD51" s="62"/>
      <c r="BE51" s="62"/>
      <c r="BF51" s="62"/>
      <c r="BG51" s="62"/>
      <c r="BH51" s="62"/>
      <c r="BI51" s="62"/>
      <c r="BJ51" s="62"/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62"/>
      <c r="CB51" s="62"/>
      <c r="CC51" s="62"/>
      <c r="CD51" s="62"/>
      <c r="CE51" s="62"/>
      <c r="CF51" s="62"/>
      <c r="CG51" s="62"/>
      <c r="CH51" s="62"/>
      <c r="CI51" s="62"/>
      <c r="CJ51" s="62"/>
      <c r="CK51" s="62"/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  <c r="CY51" s="62"/>
      <c r="CZ51" s="62"/>
      <c r="DA51" s="62"/>
      <c r="DB51" s="62"/>
      <c r="DC51" s="62"/>
      <c r="DD51" s="62"/>
      <c r="DE51" s="62"/>
      <c r="DF51" s="62"/>
      <c r="DG51" s="62"/>
      <c r="DH51" s="62"/>
      <c r="DI51" s="62"/>
      <c r="DJ51" s="62"/>
      <c r="DK51" s="62"/>
      <c r="DL51" s="62"/>
      <c r="DM51" s="62"/>
      <c r="DN51" s="62"/>
      <c r="DO51" s="62"/>
      <c r="DP51" s="62"/>
      <c r="DQ51" s="62"/>
      <c r="DR51" s="62"/>
      <c r="DS51" s="62"/>
      <c r="DT51" s="62"/>
      <c r="DU51" s="62"/>
      <c r="DV51" s="62"/>
      <c r="DW51" s="62"/>
      <c r="DX51" s="62"/>
      <c r="DY51" s="62"/>
      <c r="DZ51" s="62"/>
      <c r="EA51" s="62"/>
      <c r="EB51" s="62"/>
      <c r="EC51" s="62"/>
      <c r="ED51" s="62"/>
      <c r="EE51" s="62"/>
      <c r="EF51" s="62"/>
      <c r="EG51" s="62"/>
      <c r="EH51" s="62"/>
      <c r="EI51" s="62"/>
      <c r="EJ51" s="62"/>
      <c r="EK51" s="62"/>
      <c r="EL51" s="62"/>
      <c r="EM51" s="62"/>
      <c r="EN51" s="62"/>
      <c r="EO51" s="62"/>
      <c r="EP51" s="62"/>
      <c r="EQ51" s="62"/>
      <c r="ER51" s="62"/>
    </row>
    <row r="52" spans="1:148">
      <c r="A52" s="104"/>
      <c r="B52" s="104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62"/>
      <c r="AB52" s="62"/>
      <c r="AC52" s="62"/>
      <c r="AD52" s="62"/>
      <c r="AE52" s="62"/>
      <c r="AF52" s="62"/>
      <c r="AG52" s="62"/>
      <c r="AH52" s="62"/>
      <c r="AI52" s="62"/>
      <c r="AJ52" s="62"/>
      <c r="AK52" s="62"/>
      <c r="AL52" s="62"/>
      <c r="AM52" s="62"/>
      <c r="AN52" s="62"/>
      <c r="AO52" s="62"/>
      <c r="AP52" s="62"/>
      <c r="AQ52" s="62"/>
      <c r="AR52" s="62"/>
      <c r="AS52" s="62"/>
      <c r="AT52" s="62"/>
      <c r="AU52" s="62"/>
      <c r="AV52" s="62"/>
      <c r="AW52" s="62"/>
      <c r="AX52" s="62"/>
      <c r="AY52" s="62"/>
      <c r="AZ52" s="62"/>
      <c r="BA52" s="62"/>
      <c r="BB52" s="62"/>
      <c r="BC52" s="62"/>
      <c r="BD52" s="62"/>
      <c r="BE52" s="62"/>
      <c r="BF52" s="62"/>
      <c r="BG52" s="62"/>
      <c r="BH52" s="62"/>
      <c r="BI52" s="62"/>
      <c r="BJ52" s="62"/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  <c r="BW52" s="62"/>
      <c r="BX52" s="62"/>
      <c r="BY52" s="62"/>
      <c r="BZ52" s="62"/>
      <c r="CA52" s="62"/>
      <c r="CB52" s="62"/>
      <c r="CC52" s="62"/>
      <c r="CD52" s="62"/>
      <c r="CE52" s="62"/>
      <c r="CF52" s="62"/>
      <c r="CG52" s="62"/>
      <c r="CH52" s="62"/>
      <c r="CI52" s="62"/>
      <c r="CJ52" s="62"/>
      <c r="CK52" s="62"/>
      <c r="CL52" s="62"/>
      <c r="CM52" s="62"/>
      <c r="CN52" s="62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2"/>
      <c r="DB52" s="62"/>
      <c r="DC52" s="62"/>
      <c r="DD52" s="62"/>
      <c r="DE52" s="62"/>
      <c r="DF52" s="62"/>
      <c r="DG52" s="62"/>
      <c r="DH52" s="62"/>
      <c r="DI52" s="62"/>
      <c r="DJ52" s="62"/>
      <c r="DK52" s="62"/>
      <c r="DL52" s="62"/>
      <c r="DM52" s="62"/>
      <c r="DN52" s="62"/>
      <c r="DO52" s="62"/>
      <c r="DP52" s="62"/>
      <c r="DQ52" s="62"/>
      <c r="DR52" s="62"/>
      <c r="DS52" s="62"/>
      <c r="DT52" s="62"/>
      <c r="DU52" s="62"/>
      <c r="DV52" s="62"/>
      <c r="DW52" s="62"/>
      <c r="DX52" s="62"/>
      <c r="DY52" s="62"/>
      <c r="DZ52" s="62"/>
      <c r="EA52" s="62"/>
      <c r="EB52" s="62"/>
      <c r="EC52" s="62"/>
      <c r="ED52" s="62"/>
      <c r="EE52" s="62"/>
      <c r="EF52" s="62"/>
      <c r="EG52" s="62"/>
      <c r="EH52" s="62"/>
      <c r="EI52" s="62"/>
      <c r="EJ52" s="62"/>
      <c r="EK52" s="62"/>
      <c r="EL52" s="62"/>
      <c r="EM52" s="62"/>
      <c r="EN52" s="62"/>
      <c r="EO52" s="62"/>
      <c r="EP52" s="62"/>
      <c r="EQ52" s="62"/>
      <c r="ER52" s="62"/>
    </row>
    <row r="53" spans="1:148">
      <c r="A53" s="104"/>
      <c r="B53" s="104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/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2"/>
      <c r="EA53" s="62"/>
      <c r="EB53" s="62"/>
      <c r="EC53" s="62"/>
      <c r="ED53" s="62"/>
      <c r="EE53" s="62"/>
      <c r="EF53" s="62"/>
      <c r="EG53" s="62"/>
      <c r="EH53" s="62"/>
      <c r="EI53" s="62"/>
      <c r="EJ53" s="62"/>
      <c r="EK53" s="62"/>
      <c r="EL53" s="62"/>
      <c r="EM53" s="62"/>
      <c r="EN53" s="62"/>
      <c r="EO53" s="62"/>
      <c r="EP53" s="62"/>
      <c r="EQ53" s="62"/>
      <c r="ER53" s="62"/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2DF80A-BC90-4A0B-ABEC-05C5EA4CB06E}">
  <sheetPr>
    <tabColor theme="9" tint="-0.249977111117893"/>
  </sheetPr>
  <dimension ref="A1:CN50"/>
  <sheetViews>
    <sheetView workbookViewId="0">
      <pane xSplit="2" ySplit="1" topLeftCell="C2" activePane="bottomRight" state="frozen"/>
      <selection pane="bottomRight" activeCell="F6" sqref="F6"/>
      <selection pane="bottomLeft"/>
      <selection pane="topRight"/>
    </sheetView>
  </sheetViews>
  <sheetFormatPr defaultRowHeight="15"/>
  <cols>
    <col min="1" max="1" width="11.85546875" style="104" bestFit="1" customWidth="1"/>
    <col min="2" max="2" width="16.5703125" style="104" bestFit="1" customWidth="1"/>
    <col min="3" max="3" width="9.85546875" style="69" customWidth="1"/>
    <col min="4" max="4" width="9.85546875" style="62" bestFit="1" customWidth="1"/>
    <col min="5" max="5" width="10.140625" style="62" bestFit="1" customWidth="1"/>
    <col min="6" max="6" width="9.7109375" style="62" bestFit="1" customWidth="1"/>
    <col min="7" max="7" width="9.5703125" style="62" bestFit="1" customWidth="1"/>
    <col min="8" max="9" width="10" style="62" bestFit="1" customWidth="1"/>
    <col min="10" max="10" width="9.5703125" style="62" bestFit="1" customWidth="1"/>
    <col min="11" max="11" width="9.42578125" style="62" bestFit="1" customWidth="1"/>
    <col min="12" max="12" width="9.5703125" style="62" bestFit="1" customWidth="1"/>
    <col min="13" max="13" width="9.7109375" style="62" bestFit="1" customWidth="1"/>
    <col min="14" max="14" width="9.42578125" style="62" bestFit="1" customWidth="1"/>
    <col min="15" max="15" width="9.140625" style="62"/>
    <col min="16" max="16" width="9.85546875" style="62" bestFit="1" customWidth="1"/>
    <col min="17" max="17" width="10.140625" style="62" bestFit="1" customWidth="1"/>
    <col min="18" max="18" width="9.7109375" style="62" bestFit="1" customWidth="1"/>
    <col min="19" max="19" width="9.5703125" style="62" bestFit="1" customWidth="1"/>
    <col min="20" max="21" width="10" style="62" bestFit="1" customWidth="1"/>
    <col min="22" max="22" width="9.5703125" style="62" bestFit="1" customWidth="1"/>
    <col min="23" max="23" width="9.42578125" style="62" bestFit="1" customWidth="1"/>
    <col min="24" max="24" width="9.5703125" style="62" bestFit="1" customWidth="1"/>
    <col min="25" max="25" width="9.7109375" style="62" bestFit="1" customWidth="1"/>
    <col min="26" max="26" width="9.42578125" style="62" bestFit="1" customWidth="1"/>
    <col min="27" max="27" width="9.140625" style="62"/>
    <col min="28" max="28" width="9.85546875" style="62" bestFit="1" customWidth="1"/>
    <col min="29" max="29" width="10.140625" style="62" bestFit="1" customWidth="1"/>
    <col min="30" max="30" width="9.7109375" style="62" bestFit="1" customWidth="1"/>
    <col min="31" max="31" width="9.5703125" style="62" bestFit="1" customWidth="1"/>
    <col min="32" max="33" width="10" style="62" bestFit="1" customWidth="1"/>
    <col min="34" max="34" width="9.5703125" style="62" bestFit="1" customWidth="1"/>
    <col min="35" max="35" width="9.42578125" style="62" bestFit="1" customWidth="1"/>
    <col min="36" max="36" width="9.5703125" style="62" bestFit="1" customWidth="1"/>
    <col min="37" max="37" width="9.7109375" style="62" bestFit="1" customWidth="1"/>
    <col min="38" max="38" width="9.42578125" style="62" bestFit="1" customWidth="1"/>
    <col min="39" max="39" width="9.140625" style="62"/>
    <col min="40" max="40" width="9.85546875" style="62" bestFit="1" customWidth="1"/>
    <col min="41" max="41" width="10.140625" style="62" bestFit="1" customWidth="1"/>
    <col min="42" max="42" width="9.7109375" style="62" bestFit="1" customWidth="1"/>
    <col min="43" max="43" width="9.5703125" style="62" bestFit="1" customWidth="1"/>
    <col min="44" max="45" width="10" style="62" bestFit="1" customWidth="1"/>
    <col min="46" max="46" width="9.5703125" style="62" bestFit="1" customWidth="1"/>
    <col min="47" max="47" width="9.42578125" style="62" bestFit="1" customWidth="1"/>
    <col min="48" max="48" width="9.5703125" style="62" bestFit="1" customWidth="1"/>
    <col min="49" max="49" width="9.7109375" style="62" bestFit="1" customWidth="1"/>
    <col min="50" max="50" width="9.42578125" style="62" bestFit="1" customWidth="1"/>
    <col min="51" max="51" width="9.140625" style="62"/>
    <col min="52" max="52" width="9.85546875" style="62" bestFit="1" customWidth="1"/>
    <col min="53" max="53" width="10.140625" style="62" bestFit="1" customWidth="1"/>
    <col min="54" max="54" width="9.7109375" style="62" bestFit="1" customWidth="1"/>
    <col min="55" max="55" width="9.5703125" style="62" bestFit="1" customWidth="1"/>
    <col min="56" max="56" width="10" style="62" bestFit="1" customWidth="1"/>
    <col min="57" max="63" width="11.5703125" style="62" bestFit="1" customWidth="1"/>
    <col min="64" max="92" width="12.5703125" style="62" bestFit="1" customWidth="1"/>
    <col min="93" max="16384" width="9.140625" style="62"/>
  </cols>
  <sheetData>
    <row r="1" spans="1:92">
      <c r="A1" s="110" t="s">
        <v>16</v>
      </c>
      <c r="B1" s="110" t="s">
        <v>17</v>
      </c>
      <c r="C1" s="107" t="s">
        <v>1913</v>
      </c>
      <c r="D1" s="108" t="s">
        <v>1914</v>
      </c>
      <c r="E1" s="106" t="s">
        <v>1915</v>
      </c>
      <c r="F1" s="108" t="s">
        <v>1916</v>
      </c>
      <c r="G1" s="106" t="s">
        <v>1917</v>
      </c>
      <c r="H1" s="108" t="s">
        <v>1918</v>
      </c>
      <c r="I1" s="106" t="s">
        <v>1919</v>
      </c>
      <c r="J1" s="106" t="s">
        <v>1920</v>
      </c>
      <c r="K1" s="108" t="s">
        <v>1921</v>
      </c>
      <c r="L1" s="108" t="s">
        <v>1922</v>
      </c>
      <c r="M1" s="106" t="s">
        <v>1923</v>
      </c>
      <c r="N1" s="108" t="s">
        <v>1924</v>
      </c>
      <c r="O1" s="108" t="s">
        <v>1925</v>
      </c>
      <c r="P1" s="108" t="s">
        <v>1926</v>
      </c>
      <c r="Q1" s="106" t="s">
        <v>1927</v>
      </c>
      <c r="R1" s="108" t="s">
        <v>1928</v>
      </c>
      <c r="S1" s="106" t="s">
        <v>1929</v>
      </c>
      <c r="T1" s="108" t="s">
        <v>1930</v>
      </c>
      <c r="U1" s="106" t="s">
        <v>1931</v>
      </c>
      <c r="V1" s="106" t="s">
        <v>1932</v>
      </c>
      <c r="W1" s="108" t="s">
        <v>1933</v>
      </c>
      <c r="X1" s="108" t="s">
        <v>1934</v>
      </c>
      <c r="Y1" s="106" t="s">
        <v>1935</v>
      </c>
      <c r="Z1" s="108" t="s">
        <v>1936</v>
      </c>
      <c r="AA1" s="108" t="s">
        <v>1937</v>
      </c>
      <c r="AB1" s="108" t="s">
        <v>1938</v>
      </c>
      <c r="AC1" s="106" t="s">
        <v>1939</v>
      </c>
      <c r="AD1" s="108" t="s">
        <v>1940</v>
      </c>
      <c r="AE1" s="106" t="s">
        <v>1941</v>
      </c>
      <c r="AF1" s="108" t="s">
        <v>1942</v>
      </c>
      <c r="AG1" s="106" t="s">
        <v>1943</v>
      </c>
      <c r="AH1" s="106" t="s">
        <v>1944</v>
      </c>
      <c r="AI1" s="108" t="s">
        <v>1945</v>
      </c>
      <c r="AJ1" s="108" t="s">
        <v>1946</v>
      </c>
      <c r="AK1" s="106" t="s">
        <v>1947</v>
      </c>
      <c r="AL1" s="108" t="s">
        <v>1948</v>
      </c>
      <c r="AM1" s="108" t="s">
        <v>1949</v>
      </c>
      <c r="AN1" s="108" t="s">
        <v>1950</v>
      </c>
      <c r="AO1" s="106" t="s">
        <v>1951</v>
      </c>
      <c r="AP1" s="108" t="s">
        <v>1952</v>
      </c>
      <c r="AQ1" s="106" t="s">
        <v>1953</v>
      </c>
      <c r="AR1" s="108" t="s">
        <v>1954</v>
      </c>
      <c r="AS1" s="106" t="s">
        <v>1955</v>
      </c>
      <c r="AT1" s="106" t="s">
        <v>1956</v>
      </c>
      <c r="AU1" s="108" t="s">
        <v>1957</v>
      </c>
      <c r="AV1" s="108" t="s">
        <v>1958</v>
      </c>
      <c r="AW1" s="106" t="s">
        <v>1959</v>
      </c>
      <c r="AX1" s="108" t="s">
        <v>1960</v>
      </c>
      <c r="AY1" s="108" t="s">
        <v>1961</v>
      </c>
      <c r="AZ1" s="108" t="s">
        <v>1962</v>
      </c>
      <c r="BA1" s="106" t="s">
        <v>1963</v>
      </c>
      <c r="BB1" s="108" t="s">
        <v>1964</v>
      </c>
      <c r="BC1" s="106" t="s">
        <v>1965</v>
      </c>
      <c r="BD1" s="108" t="s">
        <v>1966</v>
      </c>
      <c r="BE1" s="106" t="s">
        <v>1967</v>
      </c>
      <c r="BF1" s="106" t="s">
        <v>1968</v>
      </c>
      <c r="BG1" s="106" t="s">
        <v>1969</v>
      </c>
      <c r="BH1" s="106" t="s">
        <v>1970</v>
      </c>
      <c r="BI1" s="106" t="s">
        <v>1971</v>
      </c>
      <c r="BJ1" s="106" t="s">
        <v>1972</v>
      </c>
      <c r="BK1" s="106" t="s">
        <v>1973</v>
      </c>
      <c r="BL1" s="106" t="s">
        <v>1974</v>
      </c>
      <c r="BM1" s="106" t="s">
        <v>1975</v>
      </c>
      <c r="BN1" s="106" t="s">
        <v>1976</v>
      </c>
      <c r="BO1" s="106" t="s">
        <v>1977</v>
      </c>
      <c r="BP1" s="106" t="s">
        <v>1978</v>
      </c>
      <c r="BQ1" s="106" t="s">
        <v>1979</v>
      </c>
      <c r="BR1" s="106" t="s">
        <v>1980</v>
      </c>
      <c r="BS1" s="106" t="s">
        <v>1981</v>
      </c>
      <c r="BT1" s="106" t="s">
        <v>1982</v>
      </c>
      <c r="BU1" s="106" t="s">
        <v>1983</v>
      </c>
      <c r="BV1" s="106" t="s">
        <v>1984</v>
      </c>
      <c r="BW1" s="106" t="s">
        <v>1985</v>
      </c>
      <c r="BX1" s="106" t="s">
        <v>1986</v>
      </c>
      <c r="BY1" s="106" t="s">
        <v>1987</v>
      </c>
      <c r="BZ1" s="106" t="s">
        <v>1988</v>
      </c>
      <c r="CA1" s="106" t="s">
        <v>1989</v>
      </c>
      <c r="CB1" s="106" t="s">
        <v>1990</v>
      </c>
      <c r="CC1" s="106" t="s">
        <v>1991</v>
      </c>
      <c r="CD1" s="106" t="s">
        <v>1992</v>
      </c>
      <c r="CE1" s="106" t="s">
        <v>1993</v>
      </c>
      <c r="CF1" s="106" t="s">
        <v>1994</v>
      </c>
      <c r="CG1" s="106" t="s">
        <v>1995</v>
      </c>
      <c r="CH1" s="106" t="s">
        <v>1996</v>
      </c>
      <c r="CI1" s="106" t="s">
        <v>1997</v>
      </c>
      <c r="CJ1" s="106" t="s">
        <v>1998</v>
      </c>
      <c r="CK1" s="106" t="s">
        <v>1999</v>
      </c>
      <c r="CL1" s="106" t="s">
        <v>2000</v>
      </c>
      <c r="CM1" s="106" t="s">
        <v>2001</v>
      </c>
      <c r="CN1" s="106" t="s">
        <v>2002</v>
      </c>
    </row>
    <row r="2" spans="1:92">
      <c r="A2" s="110" t="s">
        <v>36</v>
      </c>
      <c r="B2" s="110" t="s">
        <v>37</v>
      </c>
      <c r="C2" s="109">
        <v>2.3578988908150449E-2</v>
      </c>
      <c r="D2" s="107" cm="1">
        <f t="array" ref="D2">(Table684[[#This Row],[Ιαν-21]]*(1+Table6[[#This Row],[Ιαν-21]]))/SUMPRODUCT(C$2:C$49,(1+'Monthly Returns'!C$2:C$49))</f>
        <v>2.2506900752534583E-2</v>
      </c>
      <c r="E2" s="107" cm="1">
        <f t="array" ref="E2">(Table684[[#This Row],[Φεβ-21]]*(1+Table6[[#This Row],[Φεβ-21]]))/SUMPRODUCT(D$2:D$49,(1+'Monthly Returns'!D$2:D$49))</f>
        <v>2.5565739407705096E-2</v>
      </c>
      <c r="F2" s="107" cm="1">
        <f t="array" ref="F2">(Table684[[#This Row],[Μαρ-21]]*(1+Table6[[#This Row],[Μαρ-21]]))/SUMPRODUCT(E$2:E$49,(1+'Monthly Returns'!E$2:E$49))</f>
        <v>2.5923611012311651E-2</v>
      </c>
      <c r="G2" s="107" cm="1">
        <f t="array" ref="G2">(Table684[[#This Row],[Απρ-21]]*(1+Table6[[#This Row],[Απρ-21]]))/SUMPRODUCT(F$2:F$49,(1+'Monthly Returns'!F$2:F$49))</f>
        <v>2.5603383547253025E-2</v>
      </c>
      <c r="H2" s="109">
        <v>2.3578988908150449E-2</v>
      </c>
      <c r="I2" s="107" cm="1">
        <f t="array" ref="I2">(Table684[[#This Row],[Ιουν-21]]*(1+Table6[[#This Row],[Ιουν-21]]))/SUMPRODUCT(H$2:H$49,(1+'Monthly Returns'!H$2:H$49))</f>
        <v>2.2382734753569951E-2</v>
      </c>
      <c r="J2" s="107" cm="1">
        <f t="array" ref="J2">(Table684[[#This Row],[Ιουλ-21]]*(1+Table6[[#This Row],[Ιουλ-21]]))/SUMPRODUCT(I$2:I$49,(1+'Monthly Returns'!I$2:I$49))</f>
        <v>2.2115004143734532E-2</v>
      </c>
      <c r="K2" s="107" cm="1">
        <f t="array" ref="K2">(Table684[[#This Row],[Αυγ-21]]*(1+Table6[[#This Row],[Αυγ-21]]))/SUMPRODUCT(J$2:J$49,(1+'Monthly Returns'!J$2:J$49))</f>
        <v>2.2157500859776424E-2</v>
      </c>
      <c r="L2" s="107" cm="1">
        <f t="array" ref="L2">(Table684[[#This Row],[Σεπ-21]]*(1+Table6[[#This Row],[Σεπ-21]]))/SUMPRODUCT(K$2:K$49,(1+'Monthly Returns'!K$2:K$49))</f>
        <v>2.3207923829837371E-2</v>
      </c>
      <c r="M2" s="107" cm="1">
        <f t="array" ref="M2">(Table684[[#This Row],[Οκτ-21]]*(1+Table6[[#This Row],[Οκτ-21]]))/SUMPRODUCT(L$2:L$49,(1+'Monthly Returns'!L$2:L$49))</f>
        <v>2.313419745522808E-2</v>
      </c>
      <c r="N2" s="107" cm="1">
        <f t="array" ref="N2">(Table684[[#This Row],[Νοε-21]]*(1+Table6[[#This Row],[Νοε-21]]))/SUMPRODUCT(M$2:M$49,(1+'Monthly Returns'!M$2:M$49))</f>
        <v>2.1371258469871823E-2</v>
      </c>
      <c r="O2" s="109">
        <v>2.3578988908150449E-2</v>
      </c>
      <c r="P2" s="107" cm="1">
        <f t="array" ref="P2">(O2*(1+Table6[[#This Row],[Ιαν-22]]))/SUMPRODUCT(O$2:O$49,(1+'Monthly Returns'!O$2:O$49))</f>
        <v>2.7394506450772918E-2</v>
      </c>
      <c r="Q2" s="107" cm="1">
        <f t="array" ref="Q2">(P2*(1+Table6[[#This Row],[Φεβ-22]]))/SUMPRODUCT(P$2:P$49,(1+'Monthly Returns'!P$2:P$49))</f>
        <v>2.487320195037631E-2</v>
      </c>
      <c r="R2" s="107" cm="1">
        <f t="array" ref="R2">(Q2*(1+Table6[[#This Row],[Μαρ-22]]))/SUMPRODUCT(Q$2:Q$49,(1+'Monthly Returns'!Q$2:Q$49))</f>
        <v>2.2255748297342132E-2</v>
      </c>
      <c r="S2" s="107" cm="1">
        <f t="array" ref="S2">(R2*(1+Table6[[#This Row],[Απρ-22]]))/SUMPRODUCT(R$2:R$49,(1+'Monthly Returns'!R$2:R$49))</f>
        <v>2.0703155733761764E-2</v>
      </c>
      <c r="T2" s="109">
        <v>2.3578988908150449E-2</v>
      </c>
      <c r="U2" s="107" cm="1">
        <f t="array" ref="U2">(T2*(1+Table6[[#This Row],[Ιουν-22]]))/SUMPRODUCT(T$2:T$49,(1+'Monthly Returns'!T$2:T$49))</f>
        <v>2.2448000043329881E-2</v>
      </c>
      <c r="V2" s="107" cm="1">
        <f t="array" ref="V2">(U2*(1+Table6[[#This Row],[Ιουλ-22]]))/SUMPRODUCT(U$2:U$49,(1+'Monthly Returns'!U$2:U$49))</f>
        <v>2.0536412792736745E-2</v>
      </c>
      <c r="W2" s="107" cm="1">
        <f t="array" ref="W2">(V2*(1+Table6[[#This Row],[Αυγ-22]]))/SUMPRODUCT(V$2:V$49,(1+'Monthly Returns'!V$2:V$49))</f>
        <v>2.1571959629580025E-2</v>
      </c>
      <c r="X2" s="107" cm="1">
        <f t="array" ref="X2">(W2*(1+Table6[[#This Row],[Σεπ-22]]))/SUMPRODUCT(W$2:W$49,(1+'Monthly Returns'!W$2:W$49))</f>
        <v>2.2494513196817081E-2</v>
      </c>
      <c r="Y2" s="107" cm="1">
        <f t="array" ref="Y2">(X2*(1+Table6[[#This Row],[Οκτ-22]]))/SUMPRODUCT(X$2:X$49,(1+'Monthly Returns'!X$2:X$49))</f>
        <v>2.3721310287087273E-2</v>
      </c>
      <c r="Z2" s="107" cm="1">
        <f t="array" ref="Z2">(Y2*(1+Table6[[#This Row],[Νοε-22]]))/SUMPRODUCT(Y$2:Y$49,(1+'Monthly Returns'!Y$2:Y$49))</f>
        <v>2.5050735818186631E-2</v>
      </c>
      <c r="AA2" s="109">
        <v>2.3578988908150449E-2</v>
      </c>
      <c r="AB2" s="107" cm="1">
        <f t="array" ref="AB2">(AA2*(1+Table6[[#This Row],[Ιαν-23]]))/SUMPRODUCT(AA$2:AA$49,(1+'Monthly Returns'!AA$2:AA$49))</f>
        <v>2.5074288016460819E-2</v>
      </c>
      <c r="AC2" s="107" cm="1">
        <f t="array" ref="AC2">(AB2*(1+Table6[[#This Row],[Φεβ-23]]))/SUMPRODUCT(AB$2:AB$49,(1+'Monthly Returns'!AB$2:AB$49))</f>
        <v>2.6186562594283772E-2</v>
      </c>
      <c r="AD2" s="107" cm="1">
        <f t="array" ref="AD2">(AC2*(1+Table6[[#This Row],[Μαρ-23]]))/SUMPRODUCT(AC$2:AC$49,(1+'Monthly Returns'!AC$2:AC$49))</f>
        <v>2.4101377257048282E-2</v>
      </c>
      <c r="AE2" s="107" cm="1">
        <f t="array" ref="AE2">(AD2*(1+Table6[[#This Row],[Απρ-23]]))/SUMPRODUCT(AD$2:AD$49,(1+'Monthly Returns'!AD$2:AD$49))</f>
        <v>2.3621816821777223E-2</v>
      </c>
      <c r="AF2" s="109">
        <v>2.3578988908150449E-2</v>
      </c>
      <c r="AG2" s="107" cm="1">
        <f t="array" ref="AG2">(AF2*(1+Table6[[#This Row],[Ιουν-23]]))/SUMPRODUCT(AF$2:AF$49,(1+'Monthly Returns'!AF$2:AF$49))</f>
        <v>2.5448431887306843E-2</v>
      </c>
      <c r="AH2" s="107" cm="1">
        <f t="array" ref="AH2">(AG2*(1+Table6[[#This Row],[Ιουλ-23]]))/SUMPRODUCT(AG$2:AG$49,(1+'Monthly Returns'!AG$2:AG$49))</f>
        <v>2.7310273175221455E-2</v>
      </c>
      <c r="AI2" s="107" cm="1">
        <f t="array" ref="AI2">(AH2*(1+Table6[[#This Row],[Αυγ-23]]))/SUMPRODUCT(AH$2:AH$49,(1+'Monthly Returns'!AH$2:AH$49))</f>
        <v>2.6177013890172778E-2</v>
      </c>
      <c r="AJ2" s="107" cm="1">
        <f t="array" ref="AJ2">(AI2*(1+Table6[[#This Row],[Σεπ-23]]))/SUMPRODUCT(AI$2:AI$49,(1+'Monthly Returns'!AI$2:AI$49))</f>
        <v>2.6225879606133717E-2</v>
      </c>
      <c r="AK2" s="107" cm="1">
        <f t="array" ref="AK2">(AJ2*(1+Table6[[#This Row],[Οκτ-23]]))/SUMPRODUCT(AJ$2:AJ$49,(1+'Monthly Returns'!AJ$2:AJ$49))</f>
        <v>2.7472794654626785E-2</v>
      </c>
      <c r="AL2" s="107" cm="1">
        <f t="array" ref="AL2">(AK2*(1+Table6[[#This Row],[Νοε-23]]))/SUMPRODUCT(AK$2:AK$49,(1+'Monthly Returns'!AK$2:AK$49))</f>
        <v>2.8697481385944974E-2</v>
      </c>
      <c r="AM2" s="109">
        <v>2.3578988908150449E-2</v>
      </c>
      <c r="AN2" s="107" cm="1">
        <f t="array" ref="AN2">(AM2*(1+Table6[[#This Row],[Ιαν-24]]))/SUMPRODUCT(AM$2:AM$49,(1+'Monthly Returns'!AM$2:AM$49))</f>
        <v>2.5107021981178819E-2</v>
      </c>
      <c r="AO2" s="107" cm="1">
        <f t="array" ref="AO2">(AN2*(1+Table6[[#This Row],[Φεβ-24]]))/SUMPRODUCT(AN$2:AN$49,(1+'Monthly Returns'!AN$2:AN$49))</f>
        <v>2.4903454849544628E-2</v>
      </c>
      <c r="AP2" s="107" cm="1">
        <f t="array" ref="AP2">(AO2*(1+Table6[[#This Row],[Μαρ-24]]))/SUMPRODUCT(AO$2:AO$49,(1+'Monthly Returns'!AO$2:AO$49))</f>
        <v>2.7015012422157206E-2</v>
      </c>
      <c r="AQ2" s="107" cm="1">
        <f t="array" ref="AQ2">(AP2*(1+Table6[[#This Row],[Απρ-24]]))/SUMPRODUCT(AP$2:AP$49,(1+'Monthly Returns'!AP$2:AP$49))</f>
        <v>2.8387547291475575E-2</v>
      </c>
      <c r="AR2" s="109">
        <v>2.3578988908150449E-2</v>
      </c>
      <c r="AS2" s="107" cm="1">
        <f t="array" ref="AS2">(AR2*(1+Table6[[#This Row],[Ιουν-24]]))/SUMPRODUCT(AR$2:AR$49,(1+'Monthly Returns'!AR$2:AR$49))</f>
        <v>2.2963810721632033E-2</v>
      </c>
      <c r="AT2" s="107" cm="1">
        <f t="array" ref="AT2">(AS2*(1+Table6[[#This Row],[Ιουλ-24]]))/SUMPRODUCT(AS$2:AS$49,(1+'Monthly Returns'!AS$2:AS$49))</f>
        <v>2.4136559242376524E-2</v>
      </c>
      <c r="AU2" s="107" cm="1">
        <f t="array" ref="AU2">(AT2*(1+Table6[[#This Row],[Αυγ-24]]))/SUMPRODUCT(AT$2:AT$49,(1+'Monthly Returns'!AT$2:AT$49))</f>
        <v>2.3586235817737795E-2</v>
      </c>
      <c r="AV2" s="107" cm="1">
        <f t="array" ref="AV2">(AU2*(1+Table6[[#This Row],[Σεπ-24]]))/SUMPRODUCT(AU$2:AU$49,(1+'Monthly Returns'!AU$2:AU$49))</f>
        <v>2.4046429883466062E-2</v>
      </c>
      <c r="AW2" s="107" cm="1">
        <f t="array" ref="AW2">(AV2*(1+Table6[[#This Row],[Οκτ-24]]))/SUMPRODUCT(AV$2:AV$49,(1+'Monthly Returns'!AV$2:AV$49))</f>
        <v>2.5231524890767482E-2</v>
      </c>
      <c r="AX2" s="107" cm="1">
        <f t="array" ref="AX2">(AW2*(1+Table6[[#This Row],[Νοε-24]]))/SUMPRODUCT(AW$2:AW$49,(1+'Monthly Returns'!AW$2:AW$49))</f>
        <v>2.3871004179646896E-2</v>
      </c>
      <c r="AY2" s="109">
        <v>2.3578988908150449E-2</v>
      </c>
      <c r="AZ2" s="107" cm="1">
        <f t="array" ref="AZ2">(AY2*(1+Table6[[#This Row],[Ιαν-25]]))/SUMPRODUCT(AY$2:AY$49,(1+'Monthly Returns'!AY$2:AY$49))</f>
        <v>2.3778734601731962E-2</v>
      </c>
      <c r="BA2" s="107" cm="1">
        <f t="array" ref="BA2">(AZ2*(1+Table6[[#This Row],[Φεβ-25]]))/SUMPRODUCT(AZ$2:AZ$49,(1+'Monthly Returns'!AZ$2:AZ$49))</f>
        <v>2.5559561790697332E-2</v>
      </c>
      <c r="BB2" s="107" cm="1">
        <f t="array" ref="BB2">(BA2*(1+Table6[[#This Row],[Μαρ-25]]))/SUMPRODUCT(BA$2:BA$49,(1+'Monthly Returns'!BA$2:BA$49))</f>
        <v>2.6152942401483963E-2</v>
      </c>
      <c r="BC2" s="107" cm="1">
        <f t="array" ref="BC2">(BB2*(1+Table6[[#This Row],[Απρ-25]]))/SUMPRODUCT(BB$2:BB$49,(1+'Monthly Returns'!BB$2:BB$49))</f>
        <v>2.5669267845898892E-2</v>
      </c>
      <c r="BD2" s="109">
        <v>2.3578988908150449E-2</v>
      </c>
      <c r="BE2" s="106"/>
      <c r="BF2" s="106"/>
      <c r="BG2" s="106"/>
      <c r="BH2" s="106"/>
      <c r="BI2" s="106"/>
      <c r="BJ2" s="106"/>
      <c r="BK2" s="106"/>
      <c r="BL2" s="106"/>
      <c r="BM2" s="106"/>
      <c r="BN2" s="106"/>
      <c r="BO2" s="106"/>
      <c r="BP2" s="106"/>
      <c r="BQ2" s="106"/>
      <c r="BR2" s="106"/>
      <c r="BS2" s="106"/>
      <c r="BT2" s="106"/>
      <c r="BU2" s="106"/>
      <c r="BV2" s="106"/>
      <c r="BW2" s="106"/>
      <c r="BX2" s="106"/>
      <c r="BY2" s="106"/>
      <c r="BZ2" s="106"/>
      <c r="CA2" s="106"/>
      <c r="CB2" s="106"/>
      <c r="CC2" s="106"/>
      <c r="CD2" s="106"/>
      <c r="CE2" s="106"/>
      <c r="CF2" s="106"/>
      <c r="CG2" s="106"/>
      <c r="CH2" s="106"/>
      <c r="CI2" s="106"/>
      <c r="CJ2" s="106"/>
      <c r="CK2" s="106"/>
      <c r="CL2" s="106"/>
      <c r="CM2" s="106"/>
      <c r="CN2" s="106"/>
    </row>
    <row r="3" spans="1:92">
      <c r="A3" s="110" t="s">
        <v>45</v>
      </c>
      <c r="B3" s="110" t="s">
        <v>46</v>
      </c>
      <c r="C3" s="109">
        <v>2.7695955225446569E-2</v>
      </c>
      <c r="D3" s="107" cm="1">
        <f t="array" ref="D3">(Table684[[#This Row],[Ιαν-21]]*(1+Table6[[#This Row],[Ιαν-21]]))/SUMPRODUCT(C$2:C$49,(1+'Monthly Returns'!C$2:C$49))</f>
        <v>2.5848510723560793E-2</v>
      </c>
      <c r="E3" s="107" cm="1">
        <f t="array" ref="E3">(Table684[[#This Row],[Φεβ-21]]*(1+Table6[[#This Row],[Φεβ-21]]))/SUMPRODUCT(D$2:D$49,(1+'Monthly Returns'!D$2:D$49))</f>
        <v>3.0767351155275291E-2</v>
      </c>
      <c r="F3" s="107" cm="1">
        <f t="array" ref="F3">(Table684[[#This Row],[Μαρ-21]]*(1+Table6[[#This Row],[Μαρ-21]]))/SUMPRODUCT(E$2:E$49,(1+'Monthly Returns'!E$2:E$49))</f>
        <v>3.0339347445498308E-2</v>
      </c>
      <c r="G3" s="107" cm="1">
        <f t="array" ref="G3">(Table684[[#This Row],[Απρ-21]]*(1+Table6[[#This Row],[Απρ-21]]))/SUMPRODUCT(F$2:F$49,(1+'Monthly Returns'!F$2:F$49))</f>
        <v>3.069839985526571E-2</v>
      </c>
      <c r="H3" s="109">
        <v>2.7695955225446569E-2</v>
      </c>
      <c r="I3" s="107" cm="1">
        <f t="array" ref="I3">(Table684[[#This Row],[Ιουν-21]]*(1+Table6[[#This Row],[Ιουν-21]]))/SUMPRODUCT(H$2:H$49,(1+'Monthly Returns'!H$2:H$49))</f>
        <v>2.5813609487127069E-2</v>
      </c>
      <c r="J3" s="107" cm="1">
        <f t="array" ref="J3">(Table684[[#This Row],[Ιουλ-21]]*(1+Table6[[#This Row],[Ιουλ-21]]))/SUMPRODUCT(I$2:I$49,(1+'Monthly Returns'!I$2:I$49))</f>
        <v>2.4796443531758038E-2</v>
      </c>
      <c r="K3" s="107" cm="1">
        <f t="array" ref="K3">(Table684[[#This Row],[Αυγ-21]]*(1+Table6[[#This Row],[Αυγ-21]]))/SUMPRODUCT(J$2:J$49,(1+'Monthly Returns'!J$2:J$49))</f>
        <v>2.5230658644008582E-2</v>
      </c>
      <c r="L3" s="107" cm="1">
        <f t="array" ref="L3">(Table684[[#This Row],[Σεπ-21]]*(1+Table6[[#This Row],[Σεπ-21]]))/SUMPRODUCT(K$2:K$49,(1+'Monthly Returns'!K$2:K$49))</f>
        <v>2.7397792914640631E-2</v>
      </c>
      <c r="M3" s="107" cm="1">
        <f t="array" ref="M3">(Table684[[#This Row],[Οκτ-21]]*(1+Table6[[#This Row],[Οκτ-21]]))/SUMPRODUCT(L$2:L$49,(1+'Monthly Returns'!L$2:L$49))</f>
        <v>2.7376287400688835E-2</v>
      </c>
      <c r="N3" s="107" cm="1">
        <f t="array" ref="N3">(Table684[[#This Row],[Νοε-21]]*(1+Table6[[#This Row],[Νοε-21]]))/SUMPRODUCT(M$2:M$49,(1+'Monthly Returns'!M$2:M$49))</f>
        <v>2.710200912363759E-2</v>
      </c>
      <c r="O3" s="109">
        <v>2.7695955225446569E-2</v>
      </c>
      <c r="P3" s="107" cm="1">
        <f t="array" ref="P3">(O3*(1+Table6[[#This Row],[Ιαν-22]]))/SUMPRODUCT(O$2:O$49,(1+'Monthly Returns'!O$2:O$49))</f>
        <v>2.8959627475050962E-2</v>
      </c>
      <c r="Q3" s="107" cm="1">
        <f t="array" ref="Q3">(P3*(1+Table6[[#This Row],[Φεβ-22]]))/SUMPRODUCT(P$2:P$49,(1+'Monthly Returns'!P$2:P$49))</f>
        <v>2.5030010846448212E-2</v>
      </c>
      <c r="R3" s="107" cm="1">
        <f t="array" ref="R3">(Q3*(1+Table6[[#This Row],[Μαρ-22]]))/SUMPRODUCT(Q$2:Q$49,(1+'Monthly Returns'!Q$2:Q$49))</f>
        <v>2.4383200445322033E-2</v>
      </c>
      <c r="S3" s="107" cm="1">
        <f t="array" ref="S3">(R3*(1+Table6[[#This Row],[Απρ-22]]))/SUMPRODUCT(R$2:R$49,(1+'Monthly Returns'!R$2:R$49))</f>
        <v>2.3141543282942382E-2</v>
      </c>
      <c r="T3" s="109">
        <v>2.7695955225446569E-2</v>
      </c>
      <c r="U3" s="107" cm="1">
        <f t="array" ref="U3">(T3*(1+Table6[[#This Row],[Ιουν-22]]))/SUMPRODUCT(T$2:T$49,(1+'Monthly Returns'!T$2:T$49))</f>
        <v>2.569078563261069E-2</v>
      </c>
      <c r="V3" s="107" cm="1">
        <f t="array" ref="V3">(U3*(1+Table6[[#This Row],[Ιουλ-22]]))/SUMPRODUCT(U$2:U$49,(1+'Monthly Returns'!U$2:U$49))</f>
        <v>2.4541342526678514E-2</v>
      </c>
      <c r="W3" s="107" cm="1">
        <f t="array" ref="W3">(V3*(1+Table6[[#This Row],[Αυγ-22]]))/SUMPRODUCT(V$2:V$49,(1+'Monthly Returns'!V$2:V$49))</f>
        <v>2.6133141445984512E-2</v>
      </c>
      <c r="X3" s="107" cm="1">
        <f t="array" ref="X3">(W3*(1+Table6[[#This Row],[Σεπ-22]]))/SUMPRODUCT(W$2:W$49,(1+'Monthly Returns'!W$2:W$49))</f>
        <v>2.5863819592522184E-2</v>
      </c>
      <c r="Y3" s="107" cm="1">
        <f t="array" ref="Y3">(X3*(1+Table6[[#This Row],[Οκτ-22]]))/SUMPRODUCT(X$2:X$49,(1+'Monthly Returns'!X$2:X$49))</f>
        <v>2.6222300710817263E-2</v>
      </c>
      <c r="Z3" s="107" cm="1">
        <f t="array" ref="Z3">(Y3*(1+Table6[[#This Row],[Νοε-22]]))/SUMPRODUCT(Y$2:Y$49,(1+'Monthly Returns'!Y$2:Y$49))</f>
        <v>2.7377956625403762E-2</v>
      </c>
      <c r="AA3" s="109">
        <v>2.7695955225446569E-2</v>
      </c>
      <c r="AB3" s="107" cm="1">
        <f t="array" ref="AB3">(AA3*(1+Table6[[#This Row],[Ιαν-23]]))/SUMPRODUCT(AA$2:AA$49,(1+'Monthly Returns'!AA$2:AA$49))</f>
        <v>2.999836337494537E-2</v>
      </c>
      <c r="AC3" s="107" cm="1">
        <f t="array" ref="AC3">(AB3*(1+Table6[[#This Row],[Φεβ-23]]))/SUMPRODUCT(AB$2:AB$49,(1+'Monthly Returns'!AB$2:AB$49))</f>
        <v>3.0998944912507095E-2</v>
      </c>
      <c r="AD3" s="107" cm="1">
        <f t="array" ref="AD3">(AC3*(1+Table6[[#This Row],[Μαρ-23]]))/SUMPRODUCT(AC$2:AC$49,(1+'Monthly Returns'!AC$2:AC$49))</f>
        <v>2.5764557930664029E-2</v>
      </c>
      <c r="AE3" s="107" cm="1">
        <f t="array" ref="AE3">(AD3*(1+Table6[[#This Row],[Απρ-23]]))/SUMPRODUCT(AD$2:AD$49,(1+'Monthly Returns'!AD$2:AD$49))</f>
        <v>2.660575919812638E-2</v>
      </c>
      <c r="AF3" s="109">
        <v>2.7695955225446569E-2</v>
      </c>
      <c r="AG3" s="107" cm="1">
        <f t="array" ref="AG3">(AF3*(1+Table6[[#This Row],[Ιουν-23]]))/SUMPRODUCT(AF$2:AF$49,(1+'Monthly Returns'!AF$2:AF$49))</f>
        <v>2.8691733567271387E-2</v>
      </c>
      <c r="AH3" s="107" cm="1">
        <f t="array" ref="AH3">(AG3*(1+Table6[[#This Row],[Ιουλ-23]]))/SUMPRODUCT(AG$2:AG$49,(1+'Monthly Returns'!AG$2:AG$49))</f>
        <v>2.9227985516215686E-2</v>
      </c>
      <c r="AI3" s="107" cm="1">
        <f t="array" ref="AI3">(AH3*(1+Table6[[#This Row],[Αυγ-23]]))/SUMPRODUCT(AH$2:AH$49,(1+'Monthly Returns'!AH$2:AH$49))</f>
        <v>2.9638913763164937E-2</v>
      </c>
      <c r="AJ3" s="107" cm="1">
        <f t="array" ref="AJ3">(AI3*(1+Table6[[#This Row],[Σεπ-23]]))/SUMPRODUCT(AI$2:AI$49,(1+'Monthly Returns'!AI$2:AI$49))</f>
        <v>3.0446299542702747E-2</v>
      </c>
      <c r="AK3" s="107" cm="1">
        <f t="array" ref="AK3">(AJ3*(1+Table6[[#This Row],[Οκτ-23]]))/SUMPRODUCT(AJ$2:AJ$49,(1+'Monthly Returns'!AJ$2:AJ$49))</f>
        <v>2.8462757149342773E-2</v>
      </c>
      <c r="AL3" s="107" cm="1">
        <f t="array" ref="AL3">(AK3*(1+Table6[[#This Row],[Νοε-23]]))/SUMPRODUCT(AK$2:AK$49,(1+'Monthly Returns'!AK$2:AK$49))</f>
        <v>2.7842443476057743E-2</v>
      </c>
      <c r="AM3" s="109">
        <v>2.7695955225446569E-2</v>
      </c>
      <c r="AN3" s="107" cm="1">
        <f t="array" ref="AN3">(AM3*(1+Table6[[#This Row],[Ιαν-24]]))/SUMPRODUCT(AM$2:AM$49,(1+'Monthly Returns'!AM$2:AM$49))</f>
        <v>2.7211793233579525E-2</v>
      </c>
      <c r="AO3" s="107" cm="1">
        <f t="array" ref="AO3">(AN3*(1+Table6[[#This Row],[Φεβ-24]]))/SUMPRODUCT(AN$2:AN$49,(1+'Monthly Returns'!AN$2:AN$49))</f>
        <v>2.3287832444642418E-2</v>
      </c>
      <c r="AP3" s="107" cm="1">
        <f t="array" ref="AP3">(AO3*(1+Table6[[#This Row],[Μαρ-24]]))/SUMPRODUCT(AO$2:AO$49,(1+'Monthly Returns'!AO$2:AO$49))</f>
        <v>2.6246765881696374E-2</v>
      </c>
      <c r="AQ3" s="107" cm="1">
        <f t="array" ref="AQ3">(AP3*(1+Table6[[#This Row],[Απρ-24]]))/SUMPRODUCT(AP$2:AP$49,(1+'Monthly Returns'!AP$2:AP$49))</f>
        <v>2.7004200364512284E-2</v>
      </c>
      <c r="AR3" s="109">
        <v>2.7695955225446569E-2</v>
      </c>
      <c r="AS3" s="107" cm="1">
        <f t="array" ref="AS3">(AR3*(1+Table6[[#This Row],[Ιουν-24]]))/SUMPRODUCT(AR$2:AR$49,(1+'Monthly Returns'!AR$2:AR$49))</f>
        <v>2.4639185354435208E-2</v>
      </c>
      <c r="AT3" s="107" cm="1">
        <f t="array" ref="AT3">(AS3*(1+Table6[[#This Row],[Ιουλ-24]]))/SUMPRODUCT(AS$2:AS$49,(1+'Monthly Returns'!AS$2:AS$49))</f>
        <v>2.5549957344628154E-2</v>
      </c>
      <c r="AU3" s="107" cm="1">
        <f t="array" ref="AU3">(AT3*(1+Table6[[#This Row],[Αυγ-24]]))/SUMPRODUCT(AT$2:AT$49,(1+'Monthly Returns'!AT$2:AT$49))</f>
        <v>2.4529601370661892E-2</v>
      </c>
      <c r="AV3" s="107" cm="1">
        <f t="array" ref="AV3">(AU3*(1+Table6[[#This Row],[Σεπ-24]]))/SUMPRODUCT(AU$2:AU$49,(1+'Monthly Returns'!AU$2:AU$49))</f>
        <v>2.4127492874877341E-2</v>
      </c>
      <c r="AW3" s="107" cm="1">
        <f t="array" ref="AW3">(AV3*(1+Table6[[#This Row],[Οκτ-24]]))/SUMPRODUCT(AV$2:AV$49,(1+'Monthly Returns'!AV$2:AV$49))</f>
        <v>2.5158647360559644E-2</v>
      </c>
      <c r="AX3" s="107" cm="1">
        <f t="array" ref="AX3">(AW3*(1+Table6[[#This Row],[Νοε-24]]))/SUMPRODUCT(AW$2:AW$49,(1+'Monthly Returns'!AW$2:AW$49))</f>
        <v>2.2302227787383961E-2</v>
      </c>
      <c r="AY3" s="109">
        <v>2.7695955225446569E-2</v>
      </c>
      <c r="AZ3" s="107" cm="1">
        <f t="array" ref="AZ3">(AY3*(1+Table6[[#This Row],[Ιαν-25]]))/SUMPRODUCT(AY$2:AY$49,(1+'Monthly Returns'!AY$2:AY$49))</f>
        <v>2.8558461878060586E-2</v>
      </c>
      <c r="BA3" s="107" cm="1">
        <f t="array" ref="BA3">(AZ3*(1+Table6[[#This Row],[Φεβ-25]]))/SUMPRODUCT(AZ$2:AZ$49,(1+'Monthly Returns'!AZ$2:AZ$49))</f>
        <v>3.014791976314822E-2</v>
      </c>
      <c r="BB3" s="107" cm="1">
        <f t="array" ref="BB3">(BA3*(1+Table6[[#This Row],[Μαρ-25]]))/SUMPRODUCT(BA$2:BA$49,(1+'Monthly Returns'!BA$2:BA$49))</f>
        <v>3.2556449471761256E-2</v>
      </c>
      <c r="BC3" s="107" cm="1">
        <f t="array" ref="BC3">(BB3*(1+Table6[[#This Row],[Απρ-25]]))/SUMPRODUCT(BB$2:BB$49,(1+'Monthly Returns'!BB$2:BB$49))</f>
        <v>3.120799261059392E-2</v>
      </c>
      <c r="BD3" s="109">
        <v>2.7695955225446569E-2</v>
      </c>
      <c r="BE3" s="106"/>
      <c r="BF3" s="106"/>
      <c r="BG3" s="106"/>
      <c r="BH3" s="106"/>
      <c r="BI3" s="106"/>
      <c r="BJ3" s="106"/>
      <c r="BK3" s="106"/>
      <c r="BL3" s="106"/>
      <c r="BM3" s="106"/>
      <c r="BN3" s="106"/>
      <c r="BO3" s="106"/>
      <c r="BP3" s="106"/>
      <c r="BQ3" s="106"/>
      <c r="BR3" s="106"/>
      <c r="BS3" s="106"/>
      <c r="BT3" s="106"/>
      <c r="BU3" s="106"/>
      <c r="BV3" s="106"/>
      <c r="BW3" s="106"/>
      <c r="BX3" s="106"/>
      <c r="BY3" s="106"/>
      <c r="BZ3" s="106"/>
      <c r="CA3" s="106"/>
      <c r="CB3" s="106"/>
      <c r="CC3" s="106"/>
      <c r="CD3" s="106"/>
      <c r="CE3" s="106"/>
      <c r="CF3" s="106"/>
      <c r="CG3" s="106"/>
      <c r="CH3" s="106"/>
      <c r="CI3" s="106"/>
      <c r="CJ3" s="106"/>
      <c r="CK3" s="106"/>
      <c r="CL3" s="106"/>
      <c r="CM3" s="106"/>
      <c r="CN3" s="106"/>
    </row>
    <row r="4" spans="1:92">
      <c r="A4" s="110" t="s">
        <v>56</v>
      </c>
      <c r="B4" s="110" t="s">
        <v>57</v>
      </c>
      <c r="C4" s="109">
        <v>2.4701797903776662E-2</v>
      </c>
      <c r="D4" s="107" cm="1">
        <f t="array" ref="D4">(Table684[[#This Row],[Ιαν-21]]*(1+Table6[[#This Row],[Ιαν-21]]))/SUMPRODUCT(C$2:C$49,(1+'Monthly Returns'!C$2:C$49))</f>
        <v>2.332136353913895E-2</v>
      </c>
      <c r="E4" s="107" cm="1">
        <f t="array" ref="E4">(Table684[[#This Row],[Φεβ-21]]*(1+Table6[[#This Row],[Φεβ-21]]))/SUMPRODUCT(D$2:D$49,(1+'Monthly Returns'!D$2:D$49))</f>
        <v>2.7385053230624502E-2</v>
      </c>
      <c r="F4" s="107" cm="1">
        <f t="array" ref="F4">(Table684[[#This Row],[Μαρ-21]]*(1+Table6[[#This Row],[Μαρ-21]]))/SUMPRODUCT(E$2:E$49,(1+'Monthly Returns'!E$2:E$49))</f>
        <v>2.4659932277684881E-2</v>
      </c>
      <c r="G4" s="107" cm="1">
        <f t="array" ref="G4">(Table684[[#This Row],[Απρ-21]]*(1+Table6[[#This Row],[Απρ-21]]))/SUMPRODUCT(F$2:F$49,(1+'Monthly Returns'!F$2:F$49))</f>
        <v>2.5928893518916474E-2</v>
      </c>
      <c r="H4" s="109">
        <v>2.4701797903776662E-2</v>
      </c>
      <c r="I4" s="107" cm="1">
        <f t="array" ref="I4">(Table684[[#This Row],[Ιουν-21]]*(1+Table6[[#This Row],[Ιουν-21]]))/SUMPRODUCT(H$2:H$49,(1+'Monthly Returns'!H$2:H$49))</f>
        <v>2.4757088304636195E-2</v>
      </c>
      <c r="J4" s="107" cm="1">
        <f t="array" ref="J4">(Table684[[#This Row],[Ιουλ-21]]*(1+Table6[[#This Row],[Ιουλ-21]]))/SUMPRODUCT(I$2:I$49,(1+'Monthly Returns'!I$2:I$49))</f>
        <v>2.5294325513918362E-2</v>
      </c>
      <c r="K4" s="107" cm="1">
        <f t="array" ref="K4">(Table684[[#This Row],[Αυγ-21]]*(1+Table6[[#This Row],[Αυγ-21]]))/SUMPRODUCT(J$2:J$49,(1+'Monthly Returns'!J$2:J$49))</f>
        <v>2.5264066201155885E-2</v>
      </c>
      <c r="L4" s="107" cm="1">
        <f t="array" ref="L4">(Table684[[#This Row],[Σεπ-21]]*(1+Table6[[#This Row],[Σεπ-21]]))/SUMPRODUCT(K$2:K$49,(1+'Monthly Returns'!K$2:K$49))</f>
        <v>2.6650534907909484E-2</v>
      </c>
      <c r="M4" s="107" cm="1">
        <f t="array" ref="M4">(Table684[[#This Row],[Οκτ-21]]*(1+Table6[[#This Row],[Οκτ-21]]))/SUMPRODUCT(L$2:L$49,(1+'Monthly Returns'!L$2:L$49))</f>
        <v>2.7399641222774149E-2</v>
      </c>
      <c r="N4" s="107" cm="1">
        <f t="array" ref="N4">(Table684[[#This Row],[Νοε-21]]*(1+Table6[[#This Row],[Νοε-21]]))/SUMPRODUCT(M$2:M$49,(1+'Monthly Returns'!M$2:M$49))</f>
        <v>2.2118114727577552E-2</v>
      </c>
      <c r="O4" s="109">
        <v>2.4701797903776662E-2</v>
      </c>
      <c r="P4" s="107" cm="1">
        <f t="array" ref="P4">(O4*(1+Table6[[#This Row],[Ιαν-22]]))/SUMPRODUCT(O$2:O$49,(1+'Monthly Returns'!O$2:O$49))</f>
        <v>2.6735744554179111E-2</v>
      </c>
      <c r="Q4" s="107" cm="1">
        <f t="array" ref="Q4">(P4*(1+Table6[[#This Row],[Φεβ-22]]))/SUMPRODUCT(P$2:P$49,(1+'Monthly Returns'!P$2:P$49))</f>
        <v>2.6029995009397733E-2</v>
      </c>
      <c r="R4" s="107" cm="1">
        <f t="array" ref="R4">(Q4*(1+Table6[[#This Row],[Μαρ-22]]))/SUMPRODUCT(Q$2:Q$49,(1+'Monthly Returns'!Q$2:Q$49))</f>
        <v>2.5252222177619799E-2</v>
      </c>
      <c r="S4" s="107" cm="1">
        <f t="array" ref="S4">(R4*(1+Table6[[#This Row],[Απρ-22]]))/SUMPRODUCT(R$2:R$49,(1+'Monthly Returns'!R$2:R$49))</f>
        <v>2.5426023782269609E-2</v>
      </c>
      <c r="T4" s="109">
        <v>2.4701797903776662E-2</v>
      </c>
      <c r="U4" s="107" cm="1">
        <f t="array" ref="U4">(T4*(1+Table6[[#This Row],[Ιουν-22]]))/SUMPRODUCT(T$2:T$49,(1+'Monthly Returns'!T$2:T$49))</f>
        <v>2.2870484360331074E-2</v>
      </c>
      <c r="V4" s="107" cm="1">
        <f t="array" ref="V4">(U4*(1+Table6[[#This Row],[Ιουλ-22]]))/SUMPRODUCT(U$2:U$49,(1+'Monthly Returns'!U$2:U$49))</f>
        <v>2.1976499158757455E-2</v>
      </c>
      <c r="W4" s="107" cm="1">
        <f t="array" ref="W4">(V4*(1+Table6[[#This Row],[Αυγ-22]]))/SUMPRODUCT(V$2:V$49,(1+'Monthly Returns'!V$2:V$49))</f>
        <v>2.3550153508757402E-2</v>
      </c>
      <c r="X4" s="107" cm="1">
        <f t="array" ref="X4">(W4*(1+Table6[[#This Row],[Σεπ-22]]))/SUMPRODUCT(W$2:W$49,(1+'Monthly Returns'!W$2:W$49))</f>
        <v>2.5561167546423867E-2</v>
      </c>
      <c r="Y4" s="107" cm="1">
        <f t="array" ref="Y4">(X4*(1+Table6[[#This Row],[Οκτ-22]]))/SUMPRODUCT(X$2:X$49,(1+'Monthly Returns'!X$2:X$49))</f>
        <v>2.7511971389096286E-2</v>
      </c>
      <c r="Z4" s="107" cm="1">
        <f t="array" ref="Z4">(Y4*(1+Table6[[#This Row],[Νοε-22]]))/SUMPRODUCT(Y$2:Y$49,(1+'Monthly Returns'!Y$2:Y$49))</f>
        <v>2.7509100983754052E-2</v>
      </c>
      <c r="AA4" s="109">
        <v>2.4701797903776662E-2</v>
      </c>
      <c r="AB4" s="107" cm="1">
        <f t="array" ref="AB4">(AA4*(1+Table6[[#This Row],[Ιαν-23]]))/SUMPRODUCT(AA$2:AA$49,(1+'Monthly Returns'!AA$2:AA$49))</f>
        <v>2.5982899815675177E-2</v>
      </c>
      <c r="AC4" s="107" cm="1">
        <f t="array" ref="AC4">(AB4*(1+Table6[[#This Row],[Φεβ-23]]))/SUMPRODUCT(AB$2:AB$49,(1+'Monthly Returns'!AB$2:AB$49))</f>
        <v>2.9124240468157116E-2</v>
      </c>
      <c r="AD4" s="107" cm="1">
        <f t="array" ref="AD4">(AC4*(1+Table6[[#This Row],[Μαρ-23]]))/SUMPRODUCT(AC$2:AC$49,(1+'Monthly Returns'!AC$2:AC$49))</f>
        <v>2.5848014494366248E-2</v>
      </c>
      <c r="AE4" s="107" cm="1">
        <f t="array" ref="AE4">(AD4*(1+Table6[[#This Row],[Απρ-23]]))/SUMPRODUCT(AD$2:AD$49,(1+'Monthly Returns'!AD$2:AD$49))</f>
        <v>2.6714577922463296E-2</v>
      </c>
      <c r="AF4" s="109">
        <v>2.4701797903776662E-2</v>
      </c>
      <c r="AG4" s="107" cm="1">
        <f t="array" ref="AG4">(AF4*(1+Table6[[#This Row],[Ιουν-23]]))/SUMPRODUCT(AF$2:AF$49,(1+'Monthly Returns'!AF$2:AF$49))</f>
        <v>2.7512700747061445E-2</v>
      </c>
      <c r="AH4" s="107" cm="1">
        <f t="array" ref="AH4">(AG4*(1+Table6[[#This Row],[Ιουλ-23]]))/SUMPRODUCT(AG$2:AG$49,(1+'Monthly Returns'!AG$2:AG$49))</f>
        <v>2.7636081377750327E-2</v>
      </c>
      <c r="AI4" s="107" cm="1">
        <f t="array" ref="AI4">(AH4*(1+Table6[[#This Row],[Αυγ-23]]))/SUMPRODUCT(AH$2:AH$49,(1+'Monthly Returns'!AH$2:AH$49))</f>
        <v>2.8390852927586203E-2</v>
      </c>
      <c r="AJ4" s="107" cm="1">
        <f t="array" ref="AJ4">(AI4*(1+Table6[[#This Row],[Σεπ-23]]))/SUMPRODUCT(AI$2:AI$49,(1+'Monthly Returns'!AI$2:AI$49))</f>
        <v>3.0576203650611596E-2</v>
      </c>
      <c r="AK4" s="107" cm="1">
        <f t="array" ref="AK4">(AJ4*(1+Table6[[#This Row],[Οκτ-23]]))/SUMPRODUCT(AJ$2:AJ$49,(1+'Monthly Returns'!AJ$2:AJ$49))</f>
        <v>3.1279079698408083E-2</v>
      </c>
      <c r="AL4" s="107" cm="1">
        <f t="array" ref="AL4">(AK4*(1+Table6[[#This Row],[Νοε-23]]))/SUMPRODUCT(AK$2:AK$49,(1+'Monthly Returns'!AK$2:AK$49))</f>
        <v>3.2955235184816259E-2</v>
      </c>
      <c r="AM4" s="109">
        <v>2.4701797903776662E-2</v>
      </c>
      <c r="AN4" s="107" cm="1">
        <f t="array" ref="AN4">(AM4*(1+Table6[[#This Row],[Ιαν-24]]))/SUMPRODUCT(AM$2:AM$49,(1+'Monthly Returns'!AM$2:AM$49))</f>
        <v>2.5612913279699129E-2</v>
      </c>
      <c r="AO4" s="107" cm="1">
        <f t="array" ref="AO4">(AN4*(1+Table6[[#This Row],[Φεβ-24]]))/SUMPRODUCT(AN$2:AN$49,(1+'Monthly Returns'!AN$2:AN$49))</f>
        <v>2.6212310235723613E-2</v>
      </c>
      <c r="AP4" s="107" cm="1">
        <f t="array" ref="AP4">(AO4*(1+Table6[[#This Row],[Μαρ-24]]))/SUMPRODUCT(AO$2:AO$49,(1+'Monthly Returns'!AO$2:AO$49))</f>
        <v>2.9855842310014258E-2</v>
      </c>
      <c r="AQ4" s="107" cm="1">
        <f t="array" ref="AQ4">(AP4*(1+Table6[[#This Row],[Απρ-24]]))/SUMPRODUCT(AP$2:AP$49,(1+'Monthly Returns'!AP$2:AP$49))</f>
        <v>2.8590008468534895E-2</v>
      </c>
      <c r="AR4" s="109">
        <v>2.4701797903776662E-2</v>
      </c>
      <c r="AS4" s="107" cm="1">
        <f t="array" ref="AS4">(AR4*(1+Table6[[#This Row],[Ιουν-24]]))/SUMPRODUCT(AR$2:AR$49,(1+'Monthly Returns'!AR$2:AR$49))</f>
        <v>2.3512499321878797E-2</v>
      </c>
      <c r="AT4" s="107" cm="1">
        <f t="array" ref="AT4">(AS4*(1+Table6[[#This Row],[Ιουλ-24]]))/SUMPRODUCT(AS$2:AS$49,(1+'Monthly Returns'!AS$2:AS$49))</f>
        <v>2.3732057351386528E-2</v>
      </c>
      <c r="AU4" s="107" cm="1">
        <f t="array" ref="AU4">(AT4*(1+Table6[[#This Row],[Αυγ-24]]))/SUMPRODUCT(AT$2:AT$49,(1+'Monthly Returns'!AT$2:AT$49))</f>
        <v>2.2835132551095649E-2</v>
      </c>
      <c r="AV4" s="107" cm="1">
        <f t="array" ref="AV4">(AU4*(1+Table6[[#This Row],[Σεπ-24]]))/SUMPRODUCT(AU$2:AU$49,(1+'Monthly Returns'!AU$2:AU$49))</f>
        <v>2.3118524629507687E-2</v>
      </c>
      <c r="AW4" s="107" cm="1">
        <f t="array" ref="AW4">(AV4*(1+Table6[[#This Row],[Οκτ-24]]))/SUMPRODUCT(AV$2:AV$49,(1+'Monthly Returns'!AV$2:AV$49))</f>
        <v>2.297630456097639E-2</v>
      </c>
      <c r="AX4" s="107" cm="1">
        <f t="array" ref="AX4">(AW4*(1+Table6[[#This Row],[Νοε-24]]))/SUMPRODUCT(AW$2:AW$49,(1+'Monthly Returns'!AW$2:AW$49))</f>
        <v>2.2037510363687281E-2</v>
      </c>
      <c r="AY4" s="109">
        <v>2.4701797903776662E-2</v>
      </c>
      <c r="AZ4" s="107" cm="1">
        <f t="array" ref="AZ4">(AY4*(1+Table6[[#This Row],[Ιαν-25]]))/SUMPRODUCT(AY$2:AY$49,(1+'Monthly Returns'!AY$2:AY$49))</f>
        <v>2.6832057073690917E-2</v>
      </c>
      <c r="BA4" s="107" cm="1">
        <f t="array" ref="BA4">(AZ4*(1+Table6[[#This Row],[Φεβ-25]]))/SUMPRODUCT(AZ$2:AZ$49,(1+'Monthly Returns'!AZ$2:AZ$49))</f>
        <v>2.9654062500730691E-2</v>
      </c>
      <c r="BB4" s="107" cm="1">
        <f t="array" ref="BB4">(BA4*(1+Table6[[#This Row],[Μαρ-25]]))/SUMPRODUCT(BA$2:BA$49,(1+'Monthly Returns'!BA$2:BA$49))</f>
        <v>2.9675097903186561E-2</v>
      </c>
      <c r="BC4" s="107" cm="1">
        <f t="array" ref="BC4">(BB4*(1+Table6[[#This Row],[Απρ-25]]))/SUMPRODUCT(BB$2:BB$49,(1+'Monthly Returns'!BB$2:BB$49))</f>
        <v>2.9426676745917119E-2</v>
      </c>
      <c r="BD4" s="109">
        <v>2.4701797903776662E-2</v>
      </c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</row>
    <row r="5" spans="1:92">
      <c r="A5" s="110" t="s">
        <v>65</v>
      </c>
      <c r="B5" s="110" t="s">
        <v>66</v>
      </c>
      <c r="C5" s="109">
        <v>1.7216404599601918E-2</v>
      </c>
      <c r="D5" s="107" cm="1">
        <f t="array" ref="D5">(Table684[[#This Row],[Ιαν-21]]*(1+Table6[[#This Row],[Ιαν-21]]))/SUMPRODUCT(C$2:C$49,(1+'Monthly Returns'!C$2:C$49))</f>
        <v>1.595134394442041E-2</v>
      </c>
      <c r="E5" s="107" cm="1">
        <f t="array" ref="E5">(Table684[[#This Row],[Φεβ-21]]*(1+Table6[[#This Row],[Φεβ-21]]))/SUMPRODUCT(D$2:D$49,(1+'Monthly Returns'!D$2:D$49))</f>
        <v>1.8510102702652256E-2</v>
      </c>
      <c r="F5" s="107" cm="1">
        <f t="array" ref="F5">(Table684[[#This Row],[Μαρ-21]]*(1+Table6[[#This Row],[Μαρ-21]]))/SUMPRODUCT(E$2:E$49,(1+'Monthly Returns'!E$2:E$49))</f>
        <v>1.9235535361790179E-2</v>
      </c>
      <c r="G5" s="107" cm="1">
        <f t="array" ref="G5">(Table684[[#This Row],[Απρ-21]]*(1+Table6[[#This Row],[Απρ-21]]))/SUMPRODUCT(F$2:F$49,(1+'Monthly Returns'!F$2:F$49))</f>
        <v>2.0040020089551282E-2</v>
      </c>
      <c r="H5" s="109">
        <v>1.7216404599601918E-2</v>
      </c>
      <c r="I5" s="107" cm="1">
        <f t="array" ref="I5">(Table684[[#This Row],[Ιουν-21]]*(1+Table6[[#This Row],[Ιουν-21]]))/SUMPRODUCT(H$2:H$49,(1+'Monthly Returns'!H$2:H$49))</f>
        <v>1.5878477856785145E-2</v>
      </c>
      <c r="J5" s="107" cm="1">
        <f t="array" ref="J5">(Table684[[#This Row],[Ιουλ-21]]*(1+Table6[[#This Row],[Ιουλ-21]]))/SUMPRODUCT(I$2:I$49,(1+'Monthly Returns'!I$2:I$49))</f>
        <v>1.5417379953156072E-2</v>
      </c>
      <c r="K5" s="107" cm="1">
        <f t="array" ref="K5">(Table684[[#This Row],[Αυγ-21]]*(1+Table6[[#This Row],[Αυγ-21]]))/SUMPRODUCT(J$2:J$49,(1+'Monthly Returns'!J$2:J$49))</f>
        <v>1.4526164685491751E-2</v>
      </c>
      <c r="L5" s="107" cm="1">
        <f t="array" ref="L5">(Table684[[#This Row],[Σεπ-21]]*(1+Table6[[#This Row],[Σεπ-21]]))/SUMPRODUCT(K$2:K$49,(1+'Monthly Returns'!K$2:K$49))</f>
        <v>1.5799135236223023E-2</v>
      </c>
      <c r="M5" s="107" cm="1">
        <f t="array" ref="M5">(Table684[[#This Row],[Οκτ-21]]*(1+Table6[[#This Row],[Οκτ-21]]))/SUMPRODUCT(L$2:L$49,(1+'Monthly Returns'!L$2:L$49))</f>
        <v>1.6602976392726371E-2</v>
      </c>
      <c r="N5" s="107" cm="1">
        <f t="array" ref="N5">(Table684[[#This Row],[Νοε-21]]*(1+Table6[[#This Row],[Νοε-21]]))/SUMPRODUCT(M$2:M$49,(1+'Monthly Returns'!M$2:M$49))</f>
        <v>1.5933842028452265E-2</v>
      </c>
      <c r="O5" s="109">
        <v>1.7216404599601918E-2</v>
      </c>
      <c r="P5" s="107" cm="1">
        <f t="array" ref="P5">(O5*(1+Table6[[#This Row],[Ιαν-22]]))/SUMPRODUCT(O$2:O$49,(1+'Monthly Returns'!O$2:O$49))</f>
        <v>1.8684361259416214E-2</v>
      </c>
      <c r="Q5" s="107" cm="1">
        <f t="array" ref="Q5">(P5*(1+Table6[[#This Row],[Φεβ-22]]))/SUMPRODUCT(P$2:P$49,(1+'Monthly Returns'!P$2:P$49))</f>
        <v>1.8342270569722915E-2</v>
      </c>
      <c r="R5" s="107" cm="1">
        <f t="array" ref="R5">(Q5*(1+Table6[[#This Row],[Μαρ-22]]))/SUMPRODUCT(Q$2:Q$49,(1+'Monthly Returns'!Q$2:Q$49))</f>
        <v>1.7412991856610743E-2</v>
      </c>
      <c r="S5" s="107" cm="1">
        <f t="array" ref="S5">(R5*(1+Table6[[#This Row],[Απρ-22]]))/SUMPRODUCT(R$2:R$49,(1+'Monthly Returns'!R$2:R$49))</f>
        <v>1.7443059784403914E-2</v>
      </c>
      <c r="T5" s="109">
        <v>1.7216404599601918E-2</v>
      </c>
      <c r="U5" s="107" cm="1">
        <f t="array" ref="U5">(T5*(1+Table6[[#This Row],[Ιουν-22]]))/SUMPRODUCT(T$2:T$49,(1+'Monthly Returns'!T$2:T$49))</f>
        <v>1.7407654437471054E-2</v>
      </c>
      <c r="V5" s="107" cm="1">
        <f t="array" ref="V5">(U5*(1+Table6[[#This Row],[Ιουλ-22]]))/SUMPRODUCT(U$2:U$49,(1+'Monthly Returns'!U$2:U$49))</f>
        <v>1.8016184809924809E-2</v>
      </c>
      <c r="W5" s="107" cm="1">
        <f t="array" ref="W5">(V5*(1+Table6[[#This Row],[Αυγ-22]]))/SUMPRODUCT(V$2:V$49,(1+'Monthly Returns'!V$2:V$49))</f>
        <v>1.8155740561331932E-2</v>
      </c>
      <c r="X5" s="107" cm="1">
        <f t="array" ref="X5">(W5*(1+Table6[[#This Row],[Σεπ-22]]))/SUMPRODUCT(W$2:W$49,(1+'Monthly Returns'!W$2:W$49))</f>
        <v>1.7767490475938893E-2</v>
      </c>
      <c r="Y5" s="107" cm="1">
        <f t="array" ref="Y5">(X5*(1+Table6[[#This Row],[Οκτ-22]]))/SUMPRODUCT(X$2:X$49,(1+'Monthly Returns'!X$2:X$49))</f>
        <v>1.7130596926916705E-2</v>
      </c>
      <c r="Z5" s="107" cm="1">
        <f t="array" ref="Z5">(Y5*(1+Table6[[#This Row],[Νοε-22]]))/SUMPRODUCT(Y$2:Y$49,(1+'Monthly Returns'!Y$2:Y$49))</f>
        <v>1.7713866439656608E-2</v>
      </c>
      <c r="AA5" s="109">
        <v>1.7216404599601918E-2</v>
      </c>
      <c r="AB5" s="107" cm="1">
        <f t="array" ref="AB5">(AA5*(1+Table6[[#This Row],[Ιαν-23]]))/SUMPRODUCT(AA$2:AA$49,(1+'Monthly Returns'!AA$2:AA$49))</f>
        <v>1.8360307472849724E-2</v>
      </c>
      <c r="AC5" s="107" cm="1">
        <f t="array" ref="AC5">(AB5*(1+Table6[[#This Row],[Φεβ-23]]))/SUMPRODUCT(AB$2:AB$49,(1+'Monthly Returns'!AB$2:AB$49))</f>
        <v>1.8155493356360138E-2</v>
      </c>
      <c r="AD5" s="107" cm="1">
        <f t="array" ref="AD5">(AC5*(1+Table6[[#This Row],[Μαρ-23]]))/SUMPRODUCT(AC$2:AC$49,(1+'Monthly Returns'!AC$2:AC$49))</f>
        <v>1.6312040091443027E-2</v>
      </c>
      <c r="AE5" s="107" cm="1">
        <f t="array" ref="AE5">(AD5*(1+Table6[[#This Row],[Απρ-23]]))/SUMPRODUCT(AD$2:AD$49,(1+'Monthly Returns'!AD$2:AD$49))</f>
        <v>1.6636682202496342E-2</v>
      </c>
      <c r="AF5" s="109">
        <v>1.7216404599601918E-2</v>
      </c>
      <c r="AG5" s="107" cm="1">
        <f t="array" ref="AG5">(AF5*(1+Table6[[#This Row],[Ιουν-23]]))/SUMPRODUCT(AF$2:AF$49,(1+'Monthly Returns'!AF$2:AF$49))</f>
        <v>1.6473589652946177E-2</v>
      </c>
      <c r="AH5" s="107" cm="1">
        <f t="array" ref="AH5">(AG5*(1+Table6[[#This Row],[Ιουλ-23]]))/SUMPRODUCT(AG$2:AG$49,(1+'Monthly Returns'!AG$2:AG$49))</f>
        <v>1.6686262067786721E-2</v>
      </c>
      <c r="AI5" s="107" cm="1">
        <f t="array" ref="AI5">(AH5*(1+Table6[[#This Row],[Αυγ-23]]))/SUMPRODUCT(AH$2:AH$49,(1+'Monthly Returns'!AH$2:AH$49))</f>
        <v>1.6383366896445144E-2</v>
      </c>
      <c r="AJ5" s="107" cm="1">
        <f t="array" ref="AJ5">(AI5*(1+Table6[[#This Row],[Σεπ-23]]))/SUMPRODUCT(AI$2:AI$49,(1+'Monthly Returns'!AI$2:AI$49))</f>
        <v>1.7205464983326382E-2</v>
      </c>
      <c r="AK5" s="107" cm="1">
        <f t="array" ref="AK5">(AJ5*(1+Table6[[#This Row],[Οκτ-23]]))/SUMPRODUCT(AJ$2:AJ$49,(1+'Monthly Returns'!AJ$2:AJ$49))</f>
        <v>1.6043370003655379E-2</v>
      </c>
      <c r="AL5" s="107" cm="1">
        <f t="array" ref="AL5">(AK5*(1+Table6[[#This Row],[Νοε-23]]))/SUMPRODUCT(AK$2:AK$49,(1+'Monthly Returns'!AK$2:AK$49))</f>
        <v>1.6193692038998043E-2</v>
      </c>
      <c r="AM5" s="109">
        <v>1.7216404599601918E-2</v>
      </c>
      <c r="AN5" s="107" cm="1">
        <f t="array" ref="AN5">(AM5*(1+Table6[[#This Row],[Ιαν-24]]))/SUMPRODUCT(AM$2:AM$49,(1+'Monthly Returns'!AM$2:AM$49))</f>
        <v>1.5332895961276573E-2</v>
      </c>
      <c r="AO5" s="107" cm="1">
        <f t="array" ref="AO5">(AN5*(1+Table6[[#This Row],[Φεβ-24]]))/SUMPRODUCT(AN$2:AN$49,(1+'Monthly Returns'!AN$2:AN$49))</f>
        <v>1.6173377809384493E-2</v>
      </c>
      <c r="AP5" s="107" cm="1">
        <f t="array" ref="AP5">(AO5*(1+Table6[[#This Row],[Μαρ-24]]))/SUMPRODUCT(AO$2:AO$49,(1+'Monthly Returns'!AO$2:AO$49))</f>
        <v>1.7052677571698847E-2</v>
      </c>
      <c r="AQ5" s="107" cm="1">
        <f t="array" ref="AQ5">(AP5*(1+Table6[[#This Row],[Απρ-24]]))/SUMPRODUCT(AP$2:AP$49,(1+'Monthly Returns'!AP$2:AP$49))</f>
        <v>1.777892277111567E-2</v>
      </c>
      <c r="AR5" s="109">
        <v>1.7216404599601918E-2</v>
      </c>
      <c r="AS5" s="107" cm="1">
        <f t="array" ref="AS5">(AR5*(1+Table6[[#This Row],[Ιουν-24]]))/SUMPRODUCT(AR$2:AR$49,(1+'Monthly Returns'!AR$2:AR$49))</f>
        <v>1.7263659419192688E-2</v>
      </c>
      <c r="AT5" s="107" cm="1">
        <f t="array" ref="AT5">(AS5*(1+Table6[[#This Row],[Ιουλ-24]]))/SUMPRODUCT(AS$2:AS$49,(1+'Monthly Returns'!AS$2:AS$49))</f>
        <v>1.8400564696300289E-2</v>
      </c>
      <c r="AU5" s="107" cm="1">
        <f t="array" ref="AU5">(AT5*(1+Table6[[#This Row],[Αυγ-24]]))/SUMPRODUCT(AT$2:AT$49,(1+'Monthly Returns'!AT$2:AT$49))</f>
        <v>1.7902199438893793E-2</v>
      </c>
      <c r="AV5" s="107" cm="1">
        <f t="array" ref="AV5">(AU5*(1+Table6[[#This Row],[Σεπ-24]]))/SUMPRODUCT(AU$2:AU$49,(1+'Monthly Returns'!AU$2:AU$49))</f>
        <v>1.822284490174016E-2</v>
      </c>
      <c r="AW5" s="107" cm="1">
        <f t="array" ref="AW5">(AV5*(1+Table6[[#This Row],[Οκτ-24]]))/SUMPRODUCT(AV$2:AV$49,(1+'Monthly Returns'!AV$2:AV$49))</f>
        <v>1.6670008874442557E-2</v>
      </c>
      <c r="AX5" s="107" cm="1">
        <f t="array" ref="AX5">(AW5*(1+Table6[[#This Row],[Νοε-24]]))/SUMPRODUCT(AW$2:AW$49,(1+'Monthly Returns'!AW$2:AW$49))</f>
        <v>1.6543895535230758E-2</v>
      </c>
      <c r="AY5" s="109">
        <v>1.7216404599601918E-2</v>
      </c>
      <c r="AZ5" s="107" cm="1">
        <f t="array" ref="AZ5">(AY5*(1+Table6[[#This Row],[Ιαν-25]]))/SUMPRODUCT(AY$2:AY$49,(1+'Monthly Returns'!AY$2:AY$49))</f>
        <v>1.7986101569820234E-2</v>
      </c>
      <c r="BA5" s="107" cm="1">
        <f t="array" ref="BA5">(AZ5*(1+Table6[[#This Row],[Φεβ-25]]))/SUMPRODUCT(AZ$2:AZ$49,(1+'Monthly Returns'!AZ$2:AZ$49))</f>
        <v>2.0314494073028433E-2</v>
      </c>
      <c r="BB5" s="107" cm="1">
        <f t="array" ref="BB5">(BA5*(1+Table6[[#This Row],[Μαρ-25]]))/SUMPRODUCT(BA$2:BA$49,(1+'Monthly Returns'!BA$2:BA$49))</f>
        <v>2.0235385581266464E-2</v>
      </c>
      <c r="BC5" s="107" cm="1">
        <f t="array" ref="BC5">(BB5*(1+Table6[[#This Row],[Απρ-25]]))/SUMPRODUCT(BB$2:BB$49,(1+'Monthly Returns'!BB$2:BB$49))</f>
        <v>2.0782917032509486E-2</v>
      </c>
      <c r="BD5" s="109">
        <v>1.7216404599601918E-2</v>
      </c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</row>
    <row r="6" spans="1:92">
      <c r="A6" s="110" t="s">
        <v>73</v>
      </c>
      <c r="B6" s="110" t="s">
        <v>74</v>
      </c>
      <c r="C6" s="109">
        <v>1.7216404599601918E-2</v>
      </c>
      <c r="D6" s="107" cm="1">
        <f t="array" ref="D6">(Table684[[#This Row],[Ιαν-21]]*(1+Table6[[#This Row],[Ιαν-21]]))/SUMPRODUCT(C$2:C$49,(1+'Monthly Returns'!C$2:C$49))</f>
        <v>1.6036654559272688E-2</v>
      </c>
      <c r="E6" s="107" cm="1">
        <f t="array" ref="E6">(Table684[[#This Row],[Φεβ-21]]*(1+Table6[[#This Row],[Φεβ-21]]))/SUMPRODUCT(D$2:D$49,(1+'Monthly Returns'!D$2:D$49))</f>
        <v>1.8934248698610628E-2</v>
      </c>
      <c r="F6" s="107" cm="1">
        <f t="array" ref="F6">(Table684[[#This Row],[Μαρ-21]]*(1+Table6[[#This Row],[Μαρ-21]]))/SUMPRODUCT(E$2:E$49,(1+'Monthly Returns'!E$2:E$49))</f>
        <v>2.1016903085429549E-2</v>
      </c>
      <c r="G6" s="107" cm="1">
        <f t="array" ref="G6">(Table684[[#This Row],[Απρ-21]]*(1+Table6[[#This Row],[Απρ-21]]))/SUMPRODUCT(F$2:F$49,(1+'Monthly Returns'!F$2:F$49))</f>
        <v>1.909794378474158E-2</v>
      </c>
      <c r="H6" s="109">
        <v>1.7216404599601918E-2</v>
      </c>
      <c r="I6" s="107" cm="1">
        <f t="array" ref="I6">(Table684[[#This Row],[Ιουν-21]]*(1+Table6[[#This Row],[Ιουν-21]]))/SUMPRODUCT(H$2:H$49,(1+'Monthly Returns'!H$2:H$49))</f>
        <v>1.585644089595049E-2</v>
      </c>
      <c r="J6" s="107" cm="1">
        <f t="array" ref="J6">(Table684[[#This Row],[Ιουλ-21]]*(1+Table6[[#This Row],[Ιουλ-21]]))/SUMPRODUCT(I$2:I$49,(1+'Monthly Returns'!I$2:I$49))</f>
        <v>1.6062787393445268E-2</v>
      </c>
      <c r="K6" s="107" cm="1">
        <f t="array" ref="K6">(Table684[[#This Row],[Αυγ-21]]*(1+Table6[[#This Row],[Αυγ-21]]))/SUMPRODUCT(J$2:J$49,(1+'Monthly Returns'!J$2:J$49))</f>
        <v>1.6658645673103375E-2</v>
      </c>
      <c r="L6" s="107" cm="1">
        <f t="array" ref="L6">(Table684[[#This Row],[Σεπ-21]]*(1+Table6[[#This Row],[Σεπ-21]]))/SUMPRODUCT(K$2:K$49,(1+'Monthly Returns'!K$2:K$49))</f>
        <v>1.7463729821910697E-2</v>
      </c>
      <c r="M6" s="107" cm="1">
        <f t="array" ref="M6">(Table684[[#This Row],[Οκτ-21]]*(1+Table6[[#This Row],[Οκτ-21]]))/SUMPRODUCT(L$2:L$49,(1+'Monthly Returns'!L$2:L$49))</f>
        <v>1.8153436238087389E-2</v>
      </c>
      <c r="N6" s="107" cm="1">
        <f t="array" ref="N6">(Table684[[#This Row],[Νοε-21]]*(1+Table6[[#This Row],[Νοε-21]]))/SUMPRODUCT(M$2:M$49,(1+'Monthly Returns'!M$2:M$49))</f>
        <v>1.702887026298246E-2</v>
      </c>
      <c r="O6" s="109">
        <v>1.7216404599601918E-2</v>
      </c>
      <c r="P6" s="107" cm="1">
        <f t="array" ref="P6">(O6*(1+Table6[[#This Row],[Ιαν-22]]))/SUMPRODUCT(O$2:O$49,(1+'Monthly Returns'!O$2:O$49))</f>
        <v>1.8451674976074039E-2</v>
      </c>
      <c r="Q6" s="107" cm="1">
        <f t="array" ref="Q6">(P6*(1+Table6[[#This Row],[Φεβ-22]]))/SUMPRODUCT(P$2:P$49,(1+'Monthly Returns'!P$2:P$49))</f>
        <v>1.7704384005156747E-2</v>
      </c>
      <c r="R6" s="107" cm="1">
        <f t="array" ref="R6">(Q6*(1+Table6[[#This Row],[Μαρ-22]]))/SUMPRODUCT(Q$2:Q$49,(1+'Monthly Returns'!Q$2:Q$49))</f>
        <v>1.4353797067674354E-2</v>
      </c>
      <c r="S6" s="107" cm="1">
        <f t="array" ref="S6">(R6*(1+Table6[[#This Row],[Απρ-22]]))/SUMPRODUCT(R$2:R$49,(1+'Monthly Returns'!R$2:R$49))</f>
        <v>1.4303152960242288E-2</v>
      </c>
      <c r="T6" s="109">
        <v>1.7216404599601918E-2</v>
      </c>
      <c r="U6" s="107" cm="1">
        <f t="array" ref="U6">(T6*(1+Table6[[#This Row],[Ιουν-22]]))/SUMPRODUCT(T$2:T$49,(1+'Monthly Returns'!T$2:T$49))</f>
        <v>1.6727127510692032E-2</v>
      </c>
      <c r="V6" s="107" cm="1">
        <f t="array" ref="V6">(U6*(1+Table6[[#This Row],[Ιουλ-22]]))/SUMPRODUCT(U$2:U$49,(1+'Monthly Returns'!U$2:U$49))</f>
        <v>1.6618511087943599E-2</v>
      </c>
      <c r="W6" s="107" cm="1">
        <f t="array" ref="W6">(V6*(1+Table6[[#This Row],[Αυγ-22]]))/SUMPRODUCT(V$2:V$49,(1+'Monthly Returns'!V$2:V$49))</f>
        <v>1.7995884246908303E-2</v>
      </c>
      <c r="X6" s="107" cm="1">
        <f t="array" ref="X6">(W6*(1+Table6[[#This Row],[Σεπ-22]]))/SUMPRODUCT(W$2:W$49,(1+'Monthly Returns'!W$2:W$49))</f>
        <v>1.6376854840872892E-2</v>
      </c>
      <c r="Y6" s="107" cm="1">
        <f t="array" ref="Y6">(X6*(1+Table6[[#This Row],[Οκτ-22]]))/SUMPRODUCT(X$2:X$49,(1+'Monthly Returns'!X$2:X$49))</f>
        <v>1.5925482266424072E-2</v>
      </c>
      <c r="Z6" s="107" cm="1">
        <f t="array" ref="Z6">(Y6*(1+Table6[[#This Row],[Νοε-22]]))/SUMPRODUCT(Y$2:Y$49,(1+'Monthly Returns'!Y$2:Y$49))</f>
        <v>1.6099701042786324E-2</v>
      </c>
      <c r="AA6" s="109">
        <v>1.7216404599601918E-2</v>
      </c>
      <c r="AB6" s="107" cm="1">
        <f t="array" ref="AB6">(AA6*(1+Table6[[#This Row],[Ιαν-23]]))/SUMPRODUCT(AA$2:AA$49,(1+'Monthly Returns'!AA$2:AA$49))</f>
        <v>1.8589219302906749E-2</v>
      </c>
      <c r="AC6" s="107" cm="1">
        <f t="array" ref="AC6">(AB6*(1+Table6[[#This Row],[Φεβ-23]]))/SUMPRODUCT(AB$2:AB$49,(1+'Monthly Returns'!AB$2:AB$49))</f>
        <v>1.7775455078270698E-2</v>
      </c>
      <c r="AD6" s="107" cm="1">
        <f t="array" ref="AD6">(AC6*(1+Table6[[#This Row],[Μαρ-23]]))/SUMPRODUCT(AC$2:AC$49,(1+'Monthly Returns'!AC$2:AC$49))</f>
        <v>1.4717300274820985E-2</v>
      </c>
      <c r="AE6" s="107" cm="1">
        <f t="array" ref="AE6">(AD6*(1+Table6[[#This Row],[Απρ-23]]))/SUMPRODUCT(AD$2:AD$49,(1+'Monthly Returns'!AD$2:AD$49))</f>
        <v>1.5757778202971376E-2</v>
      </c>
      <c r="AF6" s="109">
        <v>1.7216404599601918E-2</v>
      </c>
      <c r="AG6" s="107" cm="1">
        <f t="array" ref="AG6">(AF6*(1+Table6[[#This Row],[Ιουν-23]]))/SUMPRODUCT(AF$2:AF$49,(1+'Monthly Returns'!AF$2:AF$49))</f>
        <v>1.6917513758678494E-2</v>
      </c>
      <c r="AH6" s="107" cm="1">
        <f t="array" ref="AH6">(AG6*(1+Table6[[#This Row],[Ιουλ-23]]))/SUMPRODUCT(AG$2:AG$49,(1+'Monthly Returns'!AG$2:AG$49))</f>
        <v>1.6794491622487525E-2</v>
      </c>
      <c r="AI6" s="107" cm="1">
        <f t="array" ref="AI6">(AH6*(1+Table6[[#This Row],[Αυγ-23]]))/SUMPRODUCT(AH$2:AH$49,(1+'Monthly Returns'!AH$2:AH$49))</f>
        <v>1.6582077854045436E-2</v>
      </c>
      <c r="AJ6" s="107" cm="1">
        <f t="array" ref="AJ6">(AI6*(1+Table6[[#This Row],[Σεπ-23]]))/SUMPRODUCT(AI$2:AI$49,(1+'Monthly Returns'!AI$2:AI$49))</f>
        <v>1.792914934158692E-2</v>
      </c>
      <c r="AK6" s="107" cm="1">
        <f t="array" ref="AK6">(AJ6*(1+Table6[[#This Row],[Οκτ-23]]))/SUMPRODUCT(AJ$2:AJ$49,(1+'Monthly Returns'!AJ$2:AJ$49))</f>
        <v>1.5378631578432261E-2</v>
      </c>
      <c r="AL6" s="107" cm="1">
        <f t="array" ref="AL6">(AK6*(1+Table6[[#This Row],[Νοε-23]]))/SUMPRODUCT(AK$2:AK$49,(1+'Monthly Returns'!AK$2:AK$49))</f>
        <v>1.5285219016778224E-2</v>
      </c>
      <c r="AM6" s="109">
        <v>1.7216404599601918E-2</v>
      </c>
      <c r="AN6" s="107" cm="1">
        <f t="array" ref="AN6">(AM6*(1+Table6[[#This Row],[Ιαν-24]]))/SUMPRODUCT(AM$2:AM$49,(1+'Monthly Returns'!AM$2:AM$49))</f>
        <v>1.6598930421927293E-2</v>
      </c>
      <c r="AO6" s="107" cm="1">
        <f t="array" ref="AO6">(AN6*(1+Table6[[#This Row],[Φεβ-24]]))/SUMPRODUCT(AN$2:AN$49,(1+'Monthly Returns'!AN$2:AN$49))</f>
        <v>1.8293362013970377E-2</v>
      </c>
      <c r="AP6" s="107" cm="1">
        <f t="array" ref="AP6">(AO6*(1+Table6[[#This Row],[Μαρ-24]]))/SUMPRODUCT(AO$2:AO$49,(1+'Monthly Returns'!AO$2:AO$49))</f>
        <v>1.9331262823042896E-2</v>
      </c>
      <c r="AQ6" s="107" cm="1">
        <f t="array" ref="AQ6">(AP6*(1+Table6[[#This Row],[Απρ-24]]))/SUMPRODUCT(AP$2:AP$49,(1+'Monthly Returns'!AP$2:AP$49))</f>
        <v>2.1468091846848988E-2</v>
      </c>
      <c r="AR6" s="109">
        <v>1.7216404599601918E-2</v>
      </c>
      <c r="AS6" s="107" cm="1">
        <f t="array" ref="AS6">(AR6*(1+Table6[[#This Row],[Ιουν-24]]))/SUMPRODUCT(AR$2:AR$49,(1+'Monthly Returns'!AR$2:AR$49))</f>
        <v>1.6626135521763112E-2</v>
      </c>
      <c r="AT6" s="107" cm="1">
        <f t="array" ref="AT6">(AS6*(1+Table6[[#This Row],[Ιουλ-24]]))/SUMPRODUCT(AS$2:AS$49,(1+'Monthly Returns'!AS$2:AS$49))</f>
        <v>1.8222427900962915E-2</v>
      </c>
      <c r="AU6" s="107" cm="1">
        <f t="array" ref="AU6">(AT6*(1+Table6[[#This Row],[Αυγ-24]]))/SUMPRODUCT(AT$2:AT$49,(1+'Monthly Returns'!AT$2:AT$49))</f>
        <v>1.7555022541441437E-2</v>
      </c>
      <c r="AV6" s="107" cm="1">
        <f t="array" ref="AV6">(AU6*(1+Table6[[#This Row],[Σεπ-24]]))/SUMPRODUCT(AU$2:AU$49,(1+'Monthly Returns'!AU$2:AU$49))</f>
        <v>1.7477930056191287E-2</v>
      </c>
      <c r="AW6" s="107" cm="1">
        <f t="array" ref="AW6">(AV6*(1+Table6[[#This Row],[Οκτ-24]]))/SUMPRODUCT(AV$2:AV$49,(1+'Monthly Returns'!AV$2:AV$49))</f>
        <v>1.8619963697803742E-2</v>
      </c>
      <c r="AX6" s="107" cm="1">
        <f t="array" ref="AX6">(AW6*(1+Table6[[#This Row],[Νοε-24]]))/SUMPRODUCT(AW$2:AW$49,(1+'Monthly Returns'!AW$2:AW$49))</f>
        <v>2.0657090104278884E-2</v>
      </c>
      <c r="AY6" s="109">
        <v>1.7216404599601918E-2</v>
      </c>
      <c r="AZ6" s="107" cm="1">
        <f t="array" ref="AZ6">(AY6*(1+Table6[[#This Row],[Ιαν-25]]))/SUMPRODUCT(AY$2:AY$49,(1+'Monthly Returns'!AY$2:AY$49))</f>
        <v>1.7504616638077446E-2</v>
      </c>
      <c r="BA6" s="107" cm="1">
        <f t="array" ref="BA6">(AZ6*(1+Table6[[#This Row],[Φεβ-25]]))/SUMPRODUCT(AZ$2:AZ$49,(1+'Monthly Returns'!AZ$2:AZ$49))</f>
        <v>1.8022137724054633E-2</v>
      </c>
      <c r="BB6" s="107" cm="1">
        <f t="array" ref="BB6">(BA6*(1+Table6[[#This Row],[Μαρ-25]]))/SUMPRODUCT(BA$2:BA$49,(1+'Monthly Returns'!BA$2:BA$49))</f>
        <v>1.6803340651004091E-2</v>
      </c>
      <c r="BC6" s="107" cm="1">
        <f t="array" ref="BC6">(BB6*(1+Table6[[#This Row],[Απρ-25]]))/SUMPRODUCT(BB$2:BB$49,(1+'Monthly Returns'!BB$2:BB$49))</f>
        <v>1.6931157540905444E-2</v>
      </c>
      <c r="BD6" s="109">
        <v>1.7216404599601918E-2</v>
      </c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</row>
    <row r="7" spans="1:92">
      <c r="A7" s="110" t="s">
        <v>80</v>
      </c>
      <c r="B7" s="110" t="s">
        <v>81</v>
      </c>
      <c r="C7" s="109">
        <v>1.4970786608349496E-2</v>
      </c>
      <c r="D7" s="107" cm="1">
        <f t="array" ref="D7">(Table684[[#This Row],[Ιαν-21]]*(1+Table6[[#This Row],[Ιαν-21]]))/SUMPRODUCT(C$2:C$49,(1+'Monthly Returns'!C$2:C$49))</f>
        <v>1.3484678730954186E-2</v>
      </c>
      <c r="E7" s="107" cm="1">
        <f t="array" ref="E7">(Table684[[#This Row],[Φεβ-21]]*(1+Table6[[#This Row],[Φεβ-21]]))/SUMPRODUCT(D$2:D$49,(1+'Monthly Returns'!D$2:D$49))</f>
        <v>1.6523701948465544E-2</v>
      </c>
      <c r="F7" s="107" cm="1">
        <f t="array" ref="F7">(Table684[[#This Row],[Μαρ-21]]*(1+Table6[[#This Row],[Μαρ-21]]))/SUMPRODUCT(E$2:E$49,(1+'Monthly Returns'!E$2:E$49))</f>
        <v>1.7035103443403646E-2</v>
      </c>
      <c r="G7" s="107" cm="1">
        <f t="array" ref="G7">(Table684[[#This Row],[Απρ-21]]*(1+Table6[[#This Row],[Απρ-21]]))/SUMPRODUCT(F$2:F$49,(1+'Monthly Returns'!F$2:F$49))</f>
        <v>1.6427714900616338E-2</v>
      </c>
      <c r="H7" s="109">
        <v>1.4970786608349496E-2</v>
      </c>
      <c r="I7" s="107" cm="1">
        <f t="array" ref="I7">(Table684[[#This Row],[Ιουν-21]]*(1+Table6[[#This Row],[Ιουν-21]]))/SUMPRODUCT(H$2:H$49,(1+'Monthly Returns'!H$2:H$49))</f>
        <v>1.4482484294346391E-2</v>
      </c>
      <c r="J7" s="107" cm="1">
        <f t="array" ref="J7">(Table684[[#This Row],[Ιουλ-21]]*(1+Table6[[#This Row],[Ιουλ-21]]))/SUMPRODUCT(I$2:I$49,(1+'Monthly Returns'!I$2:I$49))</f>
        <v>1.4330696942234581E-2</v>
      </c>
      <c r="K7" s="107" cm="1">
        <f t="array" ref="K7">(Table684[[#This Row],[Αυγ-21]]*(1+Table6[[#This Row],[Αυγ-21]]))/SUMPRODUCT(J$2:J$49,(1+'Monthly Returns'!J$2:J$49))</f>
        <v>1.4812035248614934E-2</v>
      </c>
      <c r="L7" s="107" cm="1">
        <f t="array" ref="L7">(Table684[[#This Row],[Σεπ-21]]*(1+Table6[[#This Row],[Σεπ-21]]))/SUMPRODUCT(K$2:K$49,(1+'Monthly Returns'!K$2:K$49))</f>
        <v>1.598118914685109E-2</v>
      </c>
      <c r="M7" s="107" cm="1">
        <f t="array" ref="M7">(Table684[[#This Row],[Οκτ-21]]*(1+Table6[[#This Row],[Οκτ-21]]))/SUMPRODUCT(L$2:L$49,(1+'Monthly Returns'!L$2:L$49))</f>
        <v>1.5311184449534264E-2</v>
      </c>
      <c r="N7" s="107" cm="1">
        <f t="array" ref="N7">(Table684[[#This Row],[Νοε-21]]*(1+Table6[[#This Row],[Νοε-21]]))/SUMPRODUCT(M$2:M$49,(1+'Monthly Returns'!M$2:M$49))</f>
        <v>1.5162564474654383E-2</v>
      </c>
      <c r="O7" s="109">
        <v>1.4970786608349496E-2</v>
      </c>
      <c r="P7" s="107" cm="1">
        <f t="array" ref="P7">(O7*(1+Table6[[#This Row],[Ιαν-22]]))/SUMPRODUCT(O$2:O$49,(1+'Monthly Returns'!O$2:O$49))</f>
        <v>1.633937879328777E-2</v>
      </c>
      <c r="Q7" s="107" cm="1">
        <f t="array" ref="Q7">(P7*(1+Table6[[#This Row],[Φεβ-22]]))/SUMPRODUCT(P$2:P$49,(1+'Monthly Returns'!P$2:P$49))</f>
        <v>1.6019890266696219E-2</v>
      </c>
      <c r="R7" s="107" cm="1">
        <f t="array" ref="R7">(Q7*(1+Table6[[#This Row],[Μαρ-22]]))/SUMPRODUCT(Q$2:Q$49,(1+'Monthly Returns'!Q$2:Q$49))</f>
        <v>1.5230362129806489E-2</v>
      </c>
      <c r="S7" s="107" cm="1">
        <f t="array" ref="S7">(R7*(1+Table6[[#This Row],[Απρ-22]]))/SUMPRODUCT(R$2:R$49,(1+'Monthly Returns'!R$2:R$49))</f>
        <v>1.5335187018441601E-2</v>
      </c>
      <c r="T7" s="109">
        <v>1.4970786608349496E-2</v>
      </c>
      <c r="U7" s="107" cm="1">
        <f t="array" ref="U7">(T7*(1+Table6[[#This Row],[Ιουν-22]]))/SUMPRODUCT(T$2:T$49,(1+'Monthly Returns'!T$2:T$49))</f>
        <v>1.5363066072770539E-2</v>
      </c>
      <c r="V7" s="107" cm="1">
        <f t="array" ref="V7">(U7*(1+Table6[[#This Row],[Ιουλ-22]]))/SUMPRODUCT(U$2:U$49,(1+'Monthly Returns'!U$2:U$49))</f>
        <v>1.6933500181598365E-2</v>
      </c>
      <c r="W7" s="107" cm="1">
        <f t="array" ref="W7">(V7*(1+Table6[[#This Row],[Αυγ-22]]))/SUMPRODUCT(V$2:V$49,(1+'Monthly Returns'!V$2:V$49))</f>
        <v>1.7293078566134008E-2</v>
      </c>
      <c r="X7" s="107" cm="1">
        <f t="array" ref="X7">(W7*(1+Table6[[#This Row],[Σεπ-22]]))/SUMPRODUCT(W$2:W$49,(1+'Monthly Returns'!W$2:W$49))</f>
        <v>1.6443403064260922E-2</v>
      </c>
      <c r="Y7" s="107" cm="1">
        <f t="array" ref="Y7">(X7*(1+Table6[[#This Row],[Οκτ-22]]))/SUMPRODUCT(X$2:X$49,(1+'Monthly Returns'!X$2:X$49))</f>
        <v>1.6232031387218501E-2</v>
      </c>
      <c r="Z7" s="107" cm="1">
        <f t="array" ref="Z7">(Y7*(1+Table6[[#This Row],[Νοε-22]]))/SUMPRODUCT(Y$2:Y$49,(1+'Monthly Returns'!Y$2:Y$49))</f>
        <v>1.6772654690665953E-2</v>
      </c>
      <c r="AA7" s="109">
        <v>1.4970786608349496E-2</v>
      </c>
      <c r="AB7" s="107" cm="1">
        <f t="array" ref="AB7">(AA7*(1+Table6[[#This Row],[Ιαν-23]]))/SUMPRODUCT(AA$2:AA$49,(1+'Monthly Returns'!AA$2:AA$49))</f>
        <v>1.6013532219581447E-2</v>
      </c>
      <c r="AC7" s="107" cm="1">
        <f t="array" ref="AC7">(AB7*(1+Table6[[#This Row],[Φεβ-23]]))/SUMPRODUCT(AB$2:AB$49,(1+'Monthly Returns'!AB$2:AB$49))</f>
        <v>1.501671870248753E-2</v>
      </c>
      <c r="AD7" s="107" cm="1">
        <f t="array" ref="AD7">(AC7*(1+Table6[[#This Row],[Μαρ-23]]))/SUMPRODUCT(AC$2:AC$49,(1+'Monthly Returns'!AC$2:AC$49))</f>
        <v>1.396303436323899E-2</v>
      </c>
      <c r="AE7" s="107" cm="1">
        <f t="array" ref="AE7">(AD7*(1+Table6[[#This Row],[Απρ-23]]))/SUMPRODUCT(AD$2:AD$49,(1+'Monthly Returns'!AD$2:AD$49))</f>
        <v>1.3550687984439182E-2</v>
      </c>
      <c r="AF7" s="109">
        <v>1.4970786608349496E-2</v>
      </c>
      <c r="AG7" s="107" cm="1">
        <f t="array" ref="AG7">(AF7*(1+Table6[[#This Row],[Ιουν-23]]))/SUMPRODUCT(AF$2:AF$49,(1+'Monthly Returns'!AF$2:AF$49))</f>
        <v>1.3464295040812096E-2</v>
      </c>
      <c r="AH7" s="107" cm="1">
        <f t="array" ref="AH7">(AG7*(1+Table6[[#This Row],[Ιουλ-23]]))/SUMPRODUCT(AG$2:AG$49,(1+'Monthly Returns'!AG$2:AG$49))</f>
        <v>1.3423105360377042E-2</v>
      </c>
      <c r="AI7" s="107" cm="1">
        <f t="array" ref="AI7">(AH7*(1+Table6[[#This Row],[Αυγ-23]]))/SUMPRODUCT(AH$2:AH$49,(1+'Monthly Returns'!AH$2:AH$49))</f>
        <v>1.321091505969605E-2</v>
      </c>
      <c r="AJ7" s="107" cm="1">
        <f t="array" ref="AJ7">(AI7*(1+Table6[[#This Row],[Σεπ-23]]))/SUMPRODUCT(AI$2:AI$49,(1+'Monthly Returns'!AI$2:AI$49))</f>
        <v>1.3547995559479454E-2</v>
      </c>
      <c r="AK7" s="107" cm="1">
        <f t="array" ref="AK7">(AJ7*(1+Table6[[#This Row],[Οκτ-23]]))/SUMPRODUCT(AJ$2:AJ$49,(1+'Monthly Returns'!AJ$2:AJ$49))</f>
        <v>1.0611326312993977E-2</v>
      </c>
      <c r="AL7" s="107" cm="1">
        <f t="array" ref="AL7">(AK7*(1+Table6[[#This Row],[Νοε-23]]))/SUMPRODUCT(AK$2:AK$49,(1+'Monthly Returns'!AK$2:AK$49))</f>
        <v>1.1480403935792777E-2</v>
      </c>
      <c r="AM7" s="109">
        <v>1.4970786608349496E-2</v>
      </c>
      <c r="AN7" s="107" cm="1">
        <f t="array" ref="AN7">(AM7*(1+Table6[[#This Row],[Ιαν-24]]))/SUMPRODUCT(AM$2:AM$49,(1+'Monthly Returns'!AM$2:AM$49))</f>
        <v>1.5350778219701249E-2</v>
      </c>
      <c r="AO7" s="107" cm="1">
        <f t="array" ref="AO7">(AN7*(1+Table6[[#This Row],[Φεβ-24]]))/SUMPRODUCT(AN$2:AN$49,(1+'Monthly Returns'!AN$2:AN$49))</f>
        <v>1.5702600479841854E-2</v>
      </c>
      <c r="AP7" s="107" cm="1">
        <f t="array" ref="AP7">(AO7*(1+Table6[[#This Row],[Μαρ-24]]))/SUMPRODUCT(AO$2:AO$49,(1+'Monthly Returns'!AO$2:AO$49))</f>
        <v>1.7328684993390193E-2</v>
      </c>
      <c r="AQ7" s="107" cm="1">
        <f t="array" ref="AQ7">(AP7*(1+Table6[[#This Row],[Απρ-24]]))/SUMPRODUCT(AP$2:AP$49,(1+'Monthly Returns'!AP$2:AP$49))</f>
        <v>1.9881515776534242E-2</v>
      </c>
      <c r="AR7" s="109">
        <v>1.4970786608349496E-2</v>
      </c>
      <c r="AS7" s="107" cm="1">
        <f t="array" ref="AS7">(AR7*(1+Table6[[#This Row],[Ιουν-24]]))/SUMPRODUCT(AR$2:AR$49,(1+'Monthly Returns'!AR$2:AR$49))</f>
        <v>1.507094982044257E-2</v>
      </c>
      <c r="AT7" s="107" cm="1">
        <f t="array" ref="AT7">(AS7*(1+Table6[[#This Row],[Ιουλ-24]]))/SUMPRODUCT(AS$2:AS$49,(1+'Monthly Returns'!AS$2:AS$49))</f>
        <v>1.7423942931778499E-2</v>
      </c>
      <c r="AU7" s="107" cm="1">
        <f t="array" ref="AU7">(AT7*(1+Table6[[#This Row],[Αυγ-24]]))/SUMPRODUCT(AT$2:AT$49,(1+'Monthly Returns'!AT$2:AT$49))</f>
        <v>1.6193742245058151E-2</v>
      </c>
      <c r="AV7" s="107" cm="1">
        <f t="array" ref="AV7">(AU7*(1+Table6[[#This Row],[Σεπ-24]]))/SUMPRODUCT(AU$2:AU$49,(1+'Monthly Returns'!AU$2:AU$49))</f>
        <v>1.6338028042259027E-2</v>
      </c>
      <c r="AW7" s="107" cm="1">
        <f t="array" ref="AW7">(AV7*(1+Table6[[#This Row],[Οκτ-24]]))/SUMPRODUCT(AV$2:AV$49,(1+'Monthly Returns'!AV$2:AV$49))</f>
        <v>1.7596077657108661E-2</v>
      </c>
      <c r="AX7" s="107" cm="1">
        <f t="array" ref="AX7">(AW7*(1+Table6[[#This Row],[Νοε-24]]))/SUMPRODUCT(AW$2:AW$49,(1+'Monthly Returns'!AW$2:AW$49))</f>
        <v>1.9248137560532175E-2</v>
      </c>
      <c r="AY7" s="109">
        <v>1.4970786608349496E-2</v>
      </c>
      <c r="AZ7" s="107" cm="1">
        <f t="array" ref="AZ7">(AY7*(1+Table6[[#This Row],[Ιαν-25]]))/SUMPRODUCT(AY$2:AY$49,(1+'Monthly Returns'!AY$2:AY$49))</f>
        <v>1.4802723222899708E-2</v>
      </c>
      <c r="BA7" s="107" cm="1">
        <f t="array" ref="BA7">(AZ7*(1+Table6[[#This Row],[Φεβ-25]]))/SUMPRODUCT(AZ$2:AZ$49,(1+'Monthly Returns'!AZ$2:AZ$49))</f>
        <v>1.5788689334242406E-2</v>
      </c>
      <c r="BB7" s="107" cm="1">
        <f t="array" ref="BB7">(BA7*(1+Table6[[#This Row],[Μαρ-25]]))/SUMPRODUCT(BA$2:BA$49,(1+'Monthly Returns'!BA$2:BA$49))</f>
        <v>1.5565685155678639E-2</v>
      </c>
      <c r="BC7" s="107" cm="1">
        <f t="array" ref="BC7">(BB7*(1+Table6[[#This Row],[Απρ-25]]))/SUMPRODUCT(BB$2:BB$49,(1+'Monthly Returns'!BB$2:BB$49))</f>
        <v>1.6098087010037638E-2</v>
      </c>
      <c r="BD7" s="109">
        <v>1.4970786608349496E-2</v>
      </c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</row>
    <row r="8" spans="1:92">
      <c r="A8" s="110" t="s">
        <v>86</v>
      </c>
      <c r="B8" s="110" t="s">
        <v>87</v>
      </c>
      <c r="C8" s="109">
        <v>2.4446840086159872E-2</v>
      </c>
      <c r="D8" s="107" cm="1">
        <f t="array" ref="D8">(Table684[[#This Row],[Ιαν-21]]*(1+Table6[[#This Row],[Ιαν-21]]))/SUMPRODUCT(C$2:C$49,(1+'Monthly Returns'!C$2:C$49))</f>
        <v>2.303368157882978E-2</v>
      </c>
      <c r="E8" s="107" cm="1">
        <f t="array" ref="E8">(Table684[[#This Row],[Φεβ-21]]*(1+Table6[[#This Row],[Φεβ-21]]))/SUMPRODUCT(D$2:D$49,(1+'Monthly Returns'!D$2:D$49))</f>
        <v>2.3660804580878089E-2</v>
      </c>
      <c r="F8" s="107" cm="1">
        <f t="array" ref="F8">(Table684[[#This Row],[Μαρ-21]]*(1+Table6[[#This Row],[Μαρ-21]]))/SUMPRODUCT(E$2:E$49,(1+'Monthly Returns'!E$2:E$49))</f>
        <v>2.4149342656026789E-2</v>
      </c>
      <c r="G8" s="107" cm="1">
        <f t="array" ref="G8">(Table684[[#This Row],[Απρ-21]]*(1+Table6[[#This Row],[Απρ-21]]))/SUMPRODUCT(F$2:F$49,(1+'Monthly Returns'!F$2:F$49))</f>
        <v>2.3706192736676741E-2</v>
      </c>
      <c r="H8" s="109">
        <v>2.4446840086159872E-2</v>
      </c>
      <c r="I8" s="107" cm="1">
        <f t="array" ref="I8">(Table684[[#This Row],[Ιουν-21]]*(1+Table6[[#This Row],[Ιουν-21]]))/SUMPRODUCT(H$2:H$49,(1+'Monthly Returns'!H$2:H$49))</f>
        <v>2.358928049408511E-2</v>
      </c>
      <c r="J8" s="107" cm="1">
        <f t="array" ref="J8">(Table684[[#This Row],[Ιουλ-21]]*(1+Table6[[#This Row],[Ιουλ-21]]))/SUMPRODUCT(I$2:I$49,(1+'Monthly Returns'!I$2:I$49))</f>
        <v>2.316041500312143E-2</v>
      </c>
      <c r="K8" s="107" cm="1">
        <f t="array" ref="K8">(Table684[[#This Row],[Αυγ-21]]*(1+Table6[[#This Row],[Αυγ-21]]))/SUMPRODUCT(J$2:J$49,(1+'Monthly Returns'!J$2:J$49))</f>
        <v>2.1336431423172257E-2</v>
      </c>
      <c r="L8" s="107" cm="1">
        <f t="array" ref="L8">(Table684[[#This Row],[Σεπ-21]]*(1+Table6[[#This Row],[Σεπ-21]]))/SUMPRODUCT(K$2:K$49,(1+'Monthly Returns'!K$2:K$49))</f>
        <v>2.1469998879563124E-2</v>
      </c>
      <c r="M8" s="107" cm="1">
        <f t="array" ref="M8">(Table684[[#This Row],[Οκτ-21]]*(1+Table6[[#This Row],[Οκτ-21]]))/SUMPRODUCT(L$2:L$49,(1+'Monthly Returns'!L$2:L$49))</f>
        <v>2.1225139866416533E-2</v>
      </c>
      <c r="N8" s="107" cm="1">
        <f t="array" ref="N8">(Table684[[#This Row],[Νοε-21]]*(1+Table6[[#This Row],[Νοε-21]]))/SUMPRODUCT(M$2:M$49,(1+'Monthly Returns'!M$2:M$49))</f>
        <v>2.1056665236847589E-2</v>
      </c>
      <c r="O8" s="109">
        <v>2.4446840086159872E-2</v>
      </c>
      <c r="P8" s="107" cm="1">
        <f t="array" ref="P8">(O8*(1+Table6[[#This Row],[Ιαν-22]]))/SUMPRODUCT(O$2:O$49,(1+'Monthly Returns'!O$2:O$49))</f>
        <v>2.7115678795878825E-2</v>
      </c>
      <c r="Q8" s="107" cm="1">
        <f t="array" ref="Q8">(P8*(1+Table6[[#This Row],[Φεβ-22]]))/SUMPRODUCT(P$2:P$49,(1+'Monthly Returns'!P$2:P$49))</f>
        <v>2.4873097854557349E-2</v>
      </c>
      <c r="R8" s="107" cm="1">
        <f t="array" ref="R8">(Q8*(1+Table6[[#This Row],[Μαρ-22]]))/SUMPRODUCT(Q$2:Q$49,(1+'Monthly Returns'!Q$2:Q$49))</f>
        <v>2.6325078671094793E-2</v>
      </c>
      <c r="S8" s="107" cm="1">
        <f t="array" ref="S8">(R8*(1+Table6[[#This Row],[Απρ-22]]))/SUMPRODUCT(R$2:R$49,(1+'Monthly Returns'!R$2:R$49))</f>
        <v>2.5728434038161566E-2</v>
      </c>
      <c r="T8" s="109">
        <v>2.4446840086159872E-2</v>
      </c>
      <c r="U8" s="107" cm="1">
        <f t="array" ref="U8">(T8*(1+Table6[[#This Row],[Ιουν-22]]))/SUMPRODUCT(T$2:T$49,(1+'Monthly Returns'!T$2:T$49))</f>
        <v>2.4660005230764354E-2</v>
      </c>
      <c r="V8" s="107" cm="1">
        <f t="array" ref="V8">(U8*(1+Table6[[#This Row],[Ιουλ-22]]))/SUMPRODUCT(U$2:U$49,(1+'Monthly Returns'!U$2:U$49))</f>
        <v>2.2659947132823391E-2</v>
      </c>
      <c r="W8" s="107" cm="1">
        <f t="array" ref="W8">(V8*(1+Table6[[#This Row],[Αυγ-22]]))/SUMPRODUCT(V$2:V$49,(1+'Monthly Returns'!V$2:V$49))</f>
        <v>2.2716079152841434E-2</v>
      </c>
      <c r="X8" s="107" cm="1">
        <f t="array" ref="X8">(W8*(1+Table6[[#This Row],[Σεπ-22]]))/SUMPRODUCT(W$2:W$49,(1+'Monthly Returns'!W$2:W$49))</f>
        <v>2.2707271806264577E-2</v>
      </c>
      <c r="Y8" s="107" cm="1">
        <f t="array" ref="Y8">(X8*(1+Table6[[#This Row],[Οκτ-22]]))/SUMPRODUCT(X$2:X$49,(1+'Monthly Returns'!X$2:X$49))</f>
        <v>2.4121106156202238E-2</v>
      </c>
      <c r="Z8" s="107" cm="1">
        <f t="array" ref="Z8">(Y8*(1+Table6[[#This Row],[Νοε-22]]))/SUMPRODUCT(Y$2:Y$49,(1+'Monthly Returns'!Y$2:Y$49))</f>
        <v>2.5193113659645938E-2</v>
      </c>
      <c r="AA8" s="109">
        <v>2.4446840086159872E-2</v>
      </c>
      <c r="AB8" s="107" cm="1">
        <f t="array" ref="AB8">(AA8*(1+Table6[[#This Row],[Ιαν-23]]))/SUMPRODUCT(AA$2:AA$49,(1+'Monthly Returns'!AA$2:AA$49))</f>
        <v>2.4492984216865972E-2</v>
      </c>
      <c r="AC8" s="107" cm="1">
        <f t="array" ref="AC8">(AB8*(1+Table6[[#This Row],[Φεβ-23]]))/SUMPRODUCT(AB$2:AB$49,(1+'Monthly Returns'!AB$2:AB$49))</f>
        <v>2.4356933164177627E-2</v>
      </c>
      <c r="AD8" s="107" cm="1">
        <f t="array" ref="AD8">(AC8*(1+Table6[[#This Row],[Μαρ-23]]))/SUMPRODUCT(AC$2:AC$49,(1+'Monthly Returns'!AC$2:AC$49))</f>
        <v>2.323971763833186E-2</v>
      </c>
      <c r="AE8" s="107" cm="1">
        <f t="array" ref="AE8">(AD8*(1+Table6[[#This Row],[Απρ-23]]))/SUMPRODUCT(AD$2:AD$49,(1+'Monthly Returns'!AD$2:AD$49))</f>
        <v>2.4079896122635263E-2</v>
      </c>
      <c r="AF8" s="109">
        <v>2.4446840086159872E-2</v>
      </c>
      <c r="AG8" s="107" cm="1">
        <f t="array" ref="AG8">(AF8*(1+Table6[[#This Row],[Ιουν-23]]))/SUMPRODUCT(AF$2:AF$49,(1+'Monthly Returns'!AF$2:AF$49))</f>
        <v>2.5138587648091425E-2</v>
      </c>
      <c r="AH8" s="107" cm="1">
        <f t="array" ref="AH8">(AG8*(1+Table6[[#This Row],[Ιουλ-23]]))/SUMPRODUCT(AG$2:AG$49,(1+'Monthly Returns'!AG$2:AG$49))</f>
        <v>2.5113403501570181E-2</v>
      </c>
      <c r="AI8" s="107" cm="1">
        <f t="array" ref="AI8">(AH8*(1+Table6[[#This Row],[Αυγ-23]]))/SUMPRODUCT(AH$2:AH$49,(1+'Monthly Returns'!AH$2:AH$49))</f>
        <v>2.6413668390700147E-2</v>
      </c>
      <c r="AJ8" s="107" cm="1">
        <f t="array" ref="AJ8">(AI8*(1+Table6[[#This Row],[Σεπ-23]]))/SUMPRODUCT(AI$2:AI$49,(1+'Monthly Returns'!AI$2:AI$49))</f>
        <v>2.6910682998440034E-2</v>
      </c>
      <c r="AK8" s="107" cm="1">
        <f t="array" ref="AK8">(AJ8*(1+Table6[[#This Row],[Οκτ-23]]))/SUMPRODUCT(AJ$2:AJ$49,(1+'Monthly Returns'!AJ$2:AJ$49))</f>
        <v>2.7630106367484471E-2</v>
      </c>
      <c r="AL8" s="107" cm="1">
        <f t="array" ref="AL8">(AK8*(1+Table6[[#This Row],[Νοε-23]]))/SUMPRODUCT(AK$2:AK$49,(1+'Monthly Returns'!AK$2:AK$49))</f>
        <v>2.6372624242625535E-2</v>
      </c>
      <c r="AM8" s="109">
        <v>2.4446840086159872E-2</v>
      </c>
      <c r="AN8" s="107" cm="1">
        <f t="array" ref="AN8">(AM8*(1+Table6[[#This Row],[Ιαν-24]]))/SUMPRODUCT(AM$2:AM$49,(1+'Monthly Returns'!AM$2:AM$49))</f>
        <v>2.453620572300471E-2</v>
      </c>
      <c r="AO8" s="107" cm="1">
        <f t="array" ref="AO8">(AN8*(1+Table6[[#This Row],[Φεβ-24]]))/SUMPRODUCT(AN$2:AN$49,(1+'Monthly Returns'!AN$2:AN$49))</f>
        <v>2.4330151982916909E-2</v>
      </c>
      <c r="AP8" s="107" cm="1">
        <f t="array" ref="AP8">(AO8*(1+Table6[[#This Row],[Μαρ-24]]))/SUMPRODUCT(AO$2:AO$49,(1+'Monthly Returns'!AO$2:AO$49))</f>
        <v>2.525630064670541E-2</v>
      </c>
      <c r="AQ8" s="107" cm="1">
        <f t="array" ref="AQ8">(AP8*(1+Table6[[#This Row],[Απρ-24]]))/SUMPRODUCT(AP$2:AP$49,(1+'Monthly Returns'!AP$2:AP$49))</f>
        <v>2.4304444798714849E-2</v>
      </c>
      <c r="AR8" s="109">
        <v>2.4446840086159872E-2</v>
      </c>
      <c r="AS8" s="107" cm="1">
        <f t="array" ref="AS8">(AR8*(1+Table6[[#This Row],[Ιουν-24]]))/SUMPRODUCT(AR$2:AR$49,(1+'Monthly Returns'!AR$2:AR$49))</f>
        <v>2.3922796315454672E-2</v>
      </c>
      <c r="AT8" s="107" cm="1">
        <f t="array" ref="AT8">(AS8*(1+Table6[[#This Row],[Ιουλ-24]]))/SUMPRODUCT(AS$2:AS$49,(1+'Monthly Returns'!AS$2:AS$49))</f>
        <v>2.3368927957422229E-2</v>
      </c>
      <c r="AU8" s="107" cm="1">
        <f t="array" ref="AU8">(AT8*(1+Table6[[#This Row],[Αυγ-24]]))/SUMPRODUCT(AT$2:AT$49,(1+'Monthly Returns'!AT$2:AT$49))</f>
        <v>2.4597105813330529E-2</v>
      </c>
      <c r="AV8" s="107" cm="1">
        <f t="array" ref="AV8">(AU8*(1+Table6[[#This Row],[Σεπ-24]]))/SUMPRODUCT(AU$2:AU$49,(1+'Monthly Returns'!AU$2:AU$49))</f>
        <v>2.5805176794655885E-2</v>
      </c>
      <c r="AW8" s="107" cm="1">
        <f t="array" ref="AW8">(AV8*(1+Table6[[#This Row],[Οκτ-24]]))/SUMPRODUCT(AV$2:AV$49,(1+'Monthly Returns'!AV$2:AV$49))</f>
        <v>2.5820625217725563E-2</v>
      </c>
      <c r="AX8" s="107" cm="1">
        <f t="array" ref="AX8">(AW8*(1+Table6[[#This Row],[Νοε-24]]))/SUMPRODUCT(AW$2:AW$49,(1+'Monthly Returns'!AW$2:AW$49))</f>
        <v>2.5604997661630678E-2</v>
      </c>
      <c r="AY8" s="109">
        <v>2.4446840086159872E-2</v>
      </c>
      <c r="AZ8" s="107" cm="1">
        <f t="array" ref="AZ8">(AY8*(1+Table6[[#This Row],[Ιαν-25]]))/SUMPRODUCT(AY$2:AY$49,(1+'Monthly Returns'!AY$2:AY$49))</f>
        <v>2.4049741273172453E-2</v>
      </c>
      <c r="BA8" s="107" cm="1">
        <f t="array" ref="BA8">(AZ8*(1+Table6[[#This Row],[Φεβ-25]]))/SUMPRODUCT(AZ$2:AZ$49,(1+'Monthly Returns'!AZ$2:AZ$49))</f>
        <v>2.4108083934732898E-2</v>
      </c>
      <c r="BB8" s="107" cm="1">
        <f t="array" ref="BB8">(BA8*(1+Table6[[#This Row],[Μαρ-25]]))/SUMPRODUCT(BA$2:BA$49,(1+'Monthly Returns'!BA$2:BA$49))</f>
        <v>2.640403120074759E-2</v>
      </c>
      <c r="BC8" s="107" cm="1">
        <f t="array" ref="BC8">(BB8*(1+Table6[[#This Row],[Απρ-25]]))/SUMPRODUCT(BB$2:BB$49,(1+'Monthly Returns'!BB$2:BB$49))</f>
        <v>2.709489103232773E-2</v>
      </c>
      <c r="BD8" s="109">
        <v>2.4446840086159872E-2</v>
      </c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</row>
    <row r="9" spans="1:92">
      <c r="A9" s="110" t="s">
        <v>95</v>
      </c>
      <c r="B9" s="110" t="s">
        <v>96</v>
      </c>
      <c r="C9" s="109">
        <v>1.5841552375831597E-2</v>
      </c>
      <c r="D9" s="107" cm="1">
        <f t="array" ref="D9">(Table684[[#This Row],[Ιαν-21]]*(1+Table6[[#This Row],[Ιαν-21]]))/SUMPRODUCT(C$2:C$49,(1+'Monthly Returns'!C$2:C$49))</f>
        <v>1.5345549428642222E-2</v>
      </c>
      <c r="E9" s="107" cm="1">
        <f t="array" ref="E9">(Table684[[#This Row],[Φεβ-21]]*(1+Table6[[#This Row],[Φεβ-21]]))/SUMPRODUCT(D$2:D$49,(1+'Monthly Returns'!D$2:D$49))</f>
        <v>1.5116008260986902E-2</v>
      </c>
      <c r="F9" s="107" cm="1">
        <f t="array" ref="F9">(Table684[[#This Row],[Μαρ-21]]*(1+Table6[[#This Row],[Μαρ-21]]))/SUMPRODUCT(E$2:E$49,(1+'Monthly Returns'!E$2:E$49))</f>
        <v>1.5263897803978127E-2</v>
      </c>
      <c r="G9" s="107" cm="1">
        <f t="array" ref="G9">(Table684[[#This Row],[Απρ-21]]*(1+Table6[[#This Row],[Απρ-21]]))/SUMPRODUCT(F$2:F$49,(1+'Monthly Returns'!F$2:F$49))</f>
        <v>1.4785696170738143E-2</v>
      </c>
      <c r="H9" s="109">
        <v>1.5841552375831597E-2</v>
      </c>
      <c r="I9" s="107" cm="1">
        <f t="array" ref="I9">(Table684[[#This Row],[Ιουν-21]]*(1+Table6[[#This Row],[Ιουν-21]]))/SUMPRODUCT(H$2:H$49,(1+'Monthly Returns'!H$2:H$49))</f>
        <v>1.5449630764740371E-2</v>
      </c>
      <c r="J9" s="107" cm="1">
        <f t="array" ref="J9">(Table684[[#This Row],[Ιουλ-21]]*(1+Table6[[#This Row],[Ιουλ-21]]))/SUMPRODUCT(I$2:I$49,(1+'Monthly Returns'!I$2:I$49))</f>
        <v>1.5334985412044857E-2</v>
      </c>
      <c r="K9" s="107" cm="1">
        <f t="array" ref="K9">(Table684[[#This Row],[Αυγ-21]]*(1+Table6[[#This Row],[Αυγ-21]]))/SUMPRODUCT(J$2:J$49,(1+'Monthly Returns'!J$2:J$49))</f>
        <v>1.6319222108908862E-2</v>
      </c>
      <c r="L9" s="107" cm="1">
        <f t="array" ref="L9">(Table684[[#This Row],[Σεπ-21]]*(1+Table6[[#This Row],[Σεπ-21]]))/SUMPRODUCT(K$2:K$49,(1+'Monthly Returns'!K$2:K$49))</f>
        <v>1.5946997176831658E-2</v>
      </c>
      <c r="M9" s="107" cm="1">
        <f t="array" ref="M9">(Table684[[#This Row],[Οκτ-21]]*(1+Table6[[#This Row],[Οκτ-21]]))/SUMPRODUCT(L$2:L$49,(1+'Monthly Returns'!L$2:L$49))</f>
        <v>1.6494414129481532E-2</v>
      </c>
      <c r="N9" s="107" cm="1">
        <f t="array" ref="N9">(Table684[[#This Row],[Νοε-21]]*(1+Table6[[#This Row],[Νοε-21]]))/SUMPRODUCT(M$2:M$49,(1+'Monthly Returns'!M$2:M$49))</f>
        <v>1.6293112744457265E-2</v>
      </c>
      <c r="O9" s="109">
        <v>1.5841552375831597E-2</v>
      </c>
      <c r="P9" s="107" cm="1">
        <f t="array" ref="P9">(O9*(1+Table6[[#This Row],[Ιαν-22]]))/SUMPRODUCT(O$2:O$49,(1+'Monthly Returns'!O$2:O$49))</f>
        <v>1.7438342812502276E-2</v>
      </c>
      <c r="Q9" s="107" cm="1">
        <f t="array" ref="Q9">(P9*(1+Table6[[#This Row],[Φεβ-22]]))/SUMPRODUCT(P$2:P$49,(1+'Monthly Returns'!P$2:P$49))</f>
        <v>1.7531355122830512E-2</v>
      </c>
      <c r="R9" s="107" cm="1">
        <f t="array" ref="R9">(Q9*(1+Table6[[#This Row],[Μαρ-22]]))/SUMPRODUCT(Q$2:Q$49,(1+'Monthly Returns'!Q$2:Q$49))</f>
        <v>1.8848318269324059E-2</v>
      </c>
      <c r="S9" s="107" cm="1">
        <f t="array" ref="S9">(R9*(1+Table6[[#This Row],[Απρ-22]]))/SUMPRODUCT(R$2:R$49,(1+'Monthly Returns'!R$2:R$49))</f>
        <v>1.910325630592892E-2</v>
      </c>
      <c r="T9" s="109">
        <v>1.5841552375831597E-2</v>
      </c>
      <c r="U9" s="107" cm="1">
        <f t="array" ref="U9">(T9*(1+Table6[[#This Row],[Ιουν-22]]))/SUMPRODUCT(T$2:T$49,(1+'Monthly Returns'!T$2:T$49))</f>
        <v>1.6776173152626576E-2</v>
      </c>
      <c r="V9" s="107" cm="1">
        <f t="array" ref="V9">(U9*(1+Table6[[#This Row],[Ιουλ-22]]))/SUMPRODUCT(U$2:U$49,(1+'Monthly Returns'!U$2:U$49))</f>
        <v>1.6261067173377771E-2</v>
      </c>
      <c r="W9" s="107" cm="1">
        <f t="array" ref="W9">(V9*(1+Table6[[#This Row],[Αυγ-22]]))/SUMPRODUCT(V$2:V$49,(1+'Monthly Returns'!V$2:V$49))</f>
        <v>1.7754469565974564E-2</v>
      </c>
      <c r="X9" s="107" cm="1">
        <f t="array" ref="X9">(W9*(1+Table6[[#This Row],[Σεπ-22]]))/SUMPRODUCT(W$2:W$49,(1+'Monthly Returns'!W$2:W$49))</f>
        <v>1.7352320904211335E-2</v>
      </c>
      <c r="Y9" s="107" cm="1">
        <f t="array" ref="Y9">(X9*(1+Table6[[#This Row],[Οκτ-22]]))/SUMPRODUCT(X$2:X$49,(1+'Monthly Returns'!X$2:X$49))</f>
        <v>1.700489464047868E-2</v>
      </c>
      <c r="Z9" s="107" cm="1">
        <f t="array" ref="Z9">(Y9*(1+Table6[[#This Row],[Νοε-22]]))/SUMPRODUCT(Y$2:Y$49,(1+'Monthly Returns'!Y$2:Y$49))</f>
        <v>1.6868976675217223E-2</v>
      </c>
      <c r="AA9" s="109">
        <v>1.5841552375831597E-2</v>
      </c>
      <c r="AB9" s="107" cm="1">
        <f t="array" ref="AB9">(AA9*(1+Table6[[#This Row],[Ιαν-23]]))/SUMPRODUCT(AA$2:AA$49,(1+'Monthly Returns'!AA$2:AA$49))</f>
        <v>1.4710801057514431E-2</v>
      </c>
      <c r="AC9" s="107" cm="1">
        <f t="array" ref="AC9">(AB9*(1+Table6[[#This Row],[Φεβ-23]]))/SUMPRODUCT(AB$2:AB$49,(1+'Monthly Returns'!AB$2:AB$49))</f>
        <v>1.4308203999434691E-2</v>
      </c>
      <c r="AD9" s="107" cm="1">
        <f t="array" ref="AD9">(AC9*(1+Table6[[#This Row],[Μαρ-23]]))/SUMPRODUCT(AC$2:AC$49,(1+'Monthly Returns'!AC$2:AC$49))</f>
        <v>1.3983908694004156E-2</v>
      </c>
      <c r="AE9" s="107" cm="1">
        <f t="array" ref="AE9">(AD9*(1+Table6[[#This Row],[Απρ-23]]))/SUMPRODUCT(AD$2:AD$49,(1+'Monthly Returns'!AD$2:AD$49))</f>
        <v>1.4294874797701942E-2</v>
      </c>
      <c r="AF9" s="109">
        <v>1.5841552375831597E-2</v>
      </c>
      <c r="AG9" s="107" cm="1">
        <f t="array" ref="AG9">(AF9*(1+Table6[[#This Row],[Ιουν-23]]))/SUMPRODUCT(AF$2:AF$49,(1+'Monthly Returns'!AF$2:AF$49))</f>
        <v>1.525019338505948E-2</v>
      </c>
      <c r="AH9" s="107" cm="1">
        <f t="array" ref="AH9">(AG9*(1+Table6[[#This Row],[Ιουλ-23]]))/SUMPRODUCT(AG$2:AG$49,(1+'Monthly Returns'!AG$2:AG$49))</f>
        <v>1.5101944338138863E-2</v>
      </c>
      <c r="AI9" s="107" cm="1">
        <f t="array" ref="AI9">(AH9*(1+Table6[[#This Row],[Αυγ-23]]))/SUMPRODUCT(AH$2:AH$49,(1+'Monthly Returns'!AH$2:AH$49))</f>
        <v>1.5183417059707209E-2</v>
      </c>
      <c r="AJ9" s="107" cm="1">
        <f t="array" ref="AJ9">(AI9*(1+Table6[[#This Row],[Σεπ-23]]))/SUMPRODUCT(AI$2:AI$49,(1+'Monthly Returns'!AI$2:AI$49))</f>
        <v>1.5432131534761076E-2</v>
      </c>
      <c r="AK9" s="107" cm="1">
        <f t="array" ref="AK9">(AJ9*(1+Table6[[#This Row],[Οκτ-23]]))/SUMPRODUCT(AJ$2:AJ$49,(1+'Monthly Returns'!AJ$2:AJ$49))</f>
        <v>1.6552859715425673E-2</v>
      </c>
      <c r="AL9" s="107" cm="1">
        <f t="array" ref="AL9">(AK9*(1+Table6[[#This Row],[Νοε-23]]))/SUMPRODUCT(AK$2:AK$49,(1+'Monthly Returns'!AK$2:AK$49))</f>
        <v>1.562300359215156E-2</v>
      </c>
      <c r="AM9" s="109">
        <v>1.5841552375831597E-2</v>
      </c>
      <c r="AN9" s="107" cm="1">
        <f t="array" ref="AN9">(AM9*(1+Table6[[#This Row],[Ιαν-24]]))/SUMPRODUCT(AM$2:AM$49,(1+'Monthly Returns'!AM$2:AM$49))</f>
        <v>1.5485193828042474E-2</v>
      </c>
      <c r="AO9" s="107" cm="1">
        <f t="array" ref="AO9">(AN9*(1+Table6[[#This Row],[Φεβ-24]]))/SUMPRODUCT(AN$2:AN$49,(1+'Monthly Returns'!AN$2:AN$49))</f>
        <v>1.5654499839730888E-2</v>
      </c>
      <c r="AP9" s="107" cm="1">
        <f t="array" ref="AP9">(AO9*(1+Table6[[#This Row],[Μαρ-24]]))/SUMPRODUCT(AO$2:AO$49,(1+'Monthly Returns'!AO$2:AO$49))</f>
        <v>1.5060516056203272E-2</v>
      </c>
      <c r="AQ9" s="107" cm="1">
        <f t="array" ref="AQ9">(AP9*(1+Table6[[#This Row],[Απρ-24]]))/SUMPRODUCT(AP$2:AP$49,(1+'Monthly Returns'!AP$2:AP$49))</f>
        <v>1.4491408115759713E-2</v>
      </c>
      <c r="AR9" s="109">
        <v>1.5841552375831597E-2</v>
      </c>
      <c r="AS9" s="107" cm="1">
        <f t="array" ref="AS9">(AR9*(1+Table6[[#This Row],[Ιουν-24]]))/SUMPRODUCT(AR$2:AR$49,(1+'Monthly Returns'!AR$2:AR$49))</f>
        <v>1.6495688167056592E-2</v>
      </c>
      <c r="AT9" s="107" cm="1">
        <f t="array" ref="AT9">(AS9*(1+Table6[[#This Row],[Ιουλ-24]]))/SUMPRODUCT(AS$2:AS$49,(1+'Monthly Returns'!AS$2:AS$49))</f>
        <v>1.6372121346927723E-2</v>
      </c>
      <c r="AU9" s="107" cm="1">
        <f t="array" ref="AU9">(AT9*(1+Table6[[#This Row],[Αυγ-24]]))/SUMPRODUCT(AT$2:AT$49,(1+'Monthly Returns'!AT$2:AT$49))</f>
        <v>1.6410078485563737E-2</v>
      </c>
      <c r="AV9" s="107" cm="1">
        <f t="array" ref="AV9">(AU9*(1+Table6[[#This Row],[Σεπ-24]]))/SUMPRODUCT(AU$2:AU$49,(1+'Monthly Returns'!AU$2:AU$49))</f>
        <v>1.7002694625975437E-2</v>
      </c>
      <c r="AW9" s="107" cm="1">
        <f t="array" ref="AW9">(AV9*(1+Table6[[#This Row],[Οκτ-24]]))/SUMPRODUCT(AV$2:AV$49,(1+'Monthly Returns'!AV$2:AV$49))</f>
        <v>1.7452846503910633E-2</v>
      </c>
      <c r="AX9" s="107" cm="1">
        <f t="array" ref="AX9">(AW9*(1+Table6[[#This Row],[Νοε-24]]))/SUMPRODUCT(AW$2:AW$49,(1+'Monthly Returns'!AW$2:AW$49))</f>
        <v>1.8920050405598222E-2</v>
      </c>
      <c r="AY9" s="109">
        <v>1.5841552375831597E-2</v>
      </c>
      <c r="AZ9" s="107" cm="1">
        <f t="array" ref="AZ9">(AY9*(1+Table6[[#This Row],[Ιαν-25]]))/SUMPRODUCT(AY$2:AY$49,(1+'Monthly Returns'!AY$2:AY$49))</f>
        <v>1.5042581655275875E-2</v>
      </c>
      <c r="BA9" s="107" cm="1">
        <f t="array" ref="BA9">(AZ9*(1+Table6[[#This Row],[Φεβ-25]]))/SUMPRODUCT(AZ$2:AZ$49,(1+'Monthly Returns'!AZ$2:AZ$49))</f>
        <v>1.5491610342249372E-2</v>
      </c>
      <c r="BB9" s="107" cm="1">
        <f t="array" ref="BB9">(BA9*(1+Table6[[#This Row],[Μαρ-25]]))/SUMPRODUCT(BA$2:BA$49,(1+'Monthly Returns'!BA$2:BA$49))</f>
        <v>1.6101657187420945E-2</v>
      </c>
      <c r="BC9" s="107" cm="1">
        <f t="array" ref="BC9">(BB9*(1+Table6[[#This Row],[Απρ-25]]))/SUMPRODUCT(BB$2:BB$49,(1+'Monthly Returns'!BB$2:BB$49))</f>
        <v>1.6313622655747598E-2</v>
      </c>
      <c r="BD9" s="109">
        <v>1.5841552375831597E-2</v>
      </c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</row>
    <row r="10" spans="1:92">
      <c r="A10" s="110" t="s">
        <v>105</v>
      </c>
      <c r="B10" s="110" t="s">
        <v>106</v>
      </c>
      <c r="C10" s="109">
        <v>1.4081379889628086E-2</v>
      </c>
      <c r="D10" s="107" cm="1">
        <f t="array" ref="D10">(Table684[[#This Row],[Ιαν-21]]*(1+Table6[[#This Row],[Ιαν-21]]))/SUMPRODUCT(C$2:C$49,(1+'Monthly Returns'!C$2:C$49))</f>
        <v>1.2914248786661222E-2</v>
      </c>
      <c r="E10" s="107" cm="1">
        <f t="array" ref="E10">(Table684[[#This Row],[Φεβ-21]]*(1+Table6[[#This Row],[Φεβ-21]]))/SUMPRODUCT(D$2:D$49,(1+'Monthly Returns'!D$2:D$49))</f>
        <v>1.3711361047697507E-2</v>
      </c>
      <c r="F10" s="107" cm="1">
        <f t="array" ref="F10">(Table684[[#This Row],[Μαρ-21]]*(1+Table6[[#This Row],[Μαρ-21]]))/SUMPRODUCT(E$2:E$49,(1+'Monthly Returns'!E$2:E$49))</f>
        <v>1.3876327192644779E-2</v>
      </c>
      <c r="G10" s="107" cm="1">
        <f t="array" ref="G10">(Table684[[#This Row],[Απρ-21]]*(1+Table6[[#This Row],[Απρ-21]]))/SUMPRODUCT(F$2:F$49,(1+'Monthly Returns'!F$2:F$49))</f>
        <v>1.2999546593198847E-2</v>
      </c>
      <c r="H10" s="109">
        <v>1.4081379889628086E-2</v>
      </c>
      <c r="I10" s="107" cm="1">
        <f t="array" ref="I10">(Table684[[#This Row],[Ιουν-21]]*(1+Table6[[#This Row],[Ιουν-21]]))/SUMPRODUCT(H$2:H$49,(1+'Monthly Returns'!H$2:H$49))</f>
        <v>1.350007782882064E-2</v>
      </c>
      <c r="J10" s="107" cm="1">
        <f t="array" ref="J10">(Table684[[#This Row],[Ιουλ-21]]*(1+Table6[[#This Row],[Ιουλ-21]]))/SUMPRODUCT(I$2:I$49,(1+'Monthly Returns'!I$2:I$49))</f>
        <v>1.3066734231515678E-2</v>
      </c>
      <c r="K10" s="107" cm="1">
        <f t="array" ref="K10">(Table684[[#This Row],[Αυγ-21]]*(1+Table6[[#This Row],[Αυγ-21]]))/SUMPRODUCT(J$2:J$49,(1+'Monthly Returns'!J$2:J$49))</f>
        <v>1.3837911878409661E-2</v>
      </c>
      <c r="L10" s="107" cm="1">
        <f t="array" ref="L10">(Table684[[#This Row],[Σεπ-21]]*(1+Table6[[#This Row],[Σεπ-21]]))/SUMPRODUCT(K$2:K$49,(1+'Monthly Returns'!K$2:K$49))</f>
        <v>1.3571856798768739E-2</v>
      </c>
      <c r="M10" s="107" cm="1">
        <f t="array" ref="M10">(Table684[[#This Row],[Οκτ-21]]*(1+Table6[[#This Row],[Οκτ-21]]))/SUMPRODUCT(L$2:L$49,(1+'Monthly Returns'!L$2:L$49))</f>
        <v>1.4089680390418056E-2</v>
      </c>
      <c r="N10" s="107" cm="1">
        <f t="array" ref="N10">(Table684[[#This Row],[Νοε-21]]*(1+Table6[[#This Row],[Νοε-21]]))/SUMPRODUCT(M$2:M$49,(1+'Monthly Returns'!M$2:M$49))</f>
        <v>1.3675794220657589E-2</v>
      </c>
      <c r="O10" s="109">
        <v>1.4081379889628086E-2</v>
      </c>
      <c r="P10" s="107" cm="1">
        <f t="array" ref="P10">(O10*(1+Table6[[#This Row],[Ιαν-22]]))/SUMPRODUCT(O$2:O$49,(1+'Monthly Returns'!O$2:O$49))</f>
        <v>1.5240841058046703E-2</v>
      </c>
      <c r="Q10" s="107" cm="1">
        <f t="array" ref="Q10">(P10*(1+Table6[[#This Row],[Φεβ-22]]))/SUMPRODUCT(P$2:P$49,(1+'Monthly Returns'!P$2:P$49))</f>
        <v>1.3814415583556294E-2</v>
      </c>
      <c r="R10" s="107" cm="1">
        <f t="array" ref="R10">(Q10*(1+Table6[[#This Row],[Μαρ-22]]))/SUMPRODUCT(Q$2:Q$49,(1+'Monthly Returns'!Q$2:Q$49))</f>
        <v>1.3476481765596498E-2</v>
      </c>
      <c r="S10" s="107" cm="1">
        <f t="array" ref="S10">(R10*(1+Table6[[#This Row],[Απρ-22]]))/SUMPRODUCT(R$2:R$49,(1+'Monthly Returns'!R$2:R$49))</f>
        <v>1.3084190306320178E-2</v>
      </c>
      <c r="T10" s="109">
        <v>1.4081379889628086E-2</v>
      </c>
      <c r="U10" s="107" cm="1">
        <f t="array" ref="U10">(T10*(1+Table6[[#This Row],[Ιουν-22]]))/SUMPRODUCT(T$2:T$49,(1+'Monthly Returns'!T$2:T$49))</f>
        <v>1.4984023400108267E-2</v>
      </c>
      <c r="V10" s="107" cm="1">
        <f t="array" ref="V10">(U10*(1+Table6[[#This Row],[Ιουλ-22]]))/SUMPRODUCT(U$2:U$49,(1+'Monthly Returns'!U$2:U$49))</f>
        <v>1.3914133817029491E-2</v>
      </c>
      <c r="W10" s="107" cm="1">
        <f t="array" ref="W10">(V10*(1+Table6[[#This Row],[Αυγ-22]]))/SUMPRODUCT(V$2:V$49,(1+'Monthly Returns'!V$2:V$49))</f>
        <v>1.5785834144443862E-2</v>
      </c>
      <c r="X10" s="107" cm="1">
        <f t="array" ref="X10">(W10*(1+Table6[[#This Row],[Σεπ-22]]))/SUMPRODUCT(W$2:W$49,(1+'Monthly Returns'!W$2:W$49))</f>
        <v>1.7217110096850077E-2</v>
      </c>
      <c r="Y10" s="107" cm="1">
        <f t="array" ref="Y10">(X10*(1+Table6[[#This Row],[Οκτ-22]]))/SUMPRODUCT(X$2:X$49,(1+'Monthly Returns'!X$2:X$49))</f>
        <v>1.7455744953517292E-2</v>
      </c>
      <c r="Z10" s="107" cm="1">
        <f t="array" ref="Z10">(Y10*(1+Table6[[#This Row],[Νοε-22]]))/SUMPRODUCT(Y$2:Y$49,(1+'Monthly Returns'!Y$2:Y$49))</f>
        <v>1.829632585529686E-2</v>
      </c>
      <c r="AA10" s="109">
        <v>1.4081379889628086E-2</v>
      </c>
      <c r="AB10" s="107" cm="1">
        <f t="array" ref="AB10">(AA10*(1+Table6[[#This Row],[Ιαν-23]]))/SUMPRODUCT(AA$2:AA$49,(1+'Monthly Returns'!AA$2:AA$49))</f>
        <v>1.4075678204839853E-2</v>
      </c>
      <c r="AC10" s="107" cm="1">
        <f t="array" ref="AC10">(AB10*(1+Table6[[#This Row],[Φεβ-23]]))/SUMPRODUCT(AB$2:AB$49,(1+'Monthly Returns'!AB$2:AB$49))</f>
        <v>1.3550778349343581E-2</v>
      </c>
      <c r="AD10" s="107" cm="1">
        <f t="array" ref="AD10">(AC10*(1+Table6[[#This Row],[Μαρ-23]]))/SUMPRODUCT(AC$2:AC$49,(1+'Monthly Returns'!AC$2:AC$49))</f>
        <v>1.3410983756270771E-2</v>
      </c>
      <c r="AE10" s="107" cm="1">
        <f t="array" ref="AE10">(AD10*(1+Table6[[#This Row],[Απρ-23]]))/SUMPRODUCT(AD$2:AD$49,(1+'Monthly Returns'!AD$2:AD$49))</f>
        <v>1.3734004819007059E-2</v>
      </c>
      <c r="AF10" s="109">
        <v>1.4081379889628086E-2</v>
      </c>
      <c r="AG10" s="107" cm="1">
        <f t="array" ref="AG10">(AF10*(1+Table6[[#This Row],[Ιουν-23]]))/SUMPRODUCT(AF$2:AF$49,(1+'Monthly Returns'!AF$2:AF$49))</f>
        <v>1.4012999500197642E-2</v>
      </c>
      <c r="AH10" s="107" cm="1">
        <f t="array" ref="AH10">(AG10*(1+Table6[[#This Row],[Ιουλ-23]]))/SUMPRODUCT(AG$2:AG$49,(1+'Monthly Returns'!AG$2:AG$49))</f>
        <v>1.3736746573976522E-2</v>
      </c>
      <c r="AI10" s="107" cm="1">
        <f t="array" ref="AI10">(AH10*(1+Table6[[#This Row],[Αυγ-23]]))/SUMPRODUCT(AH$2:AH$49,(1+'Monthly Returns'!AH$2:AH$49))</f>
        <v>1.4589403885309925E-2</v>
      </c>
      <c r="AJ10" s="107" cm="1">
        <f t="array" ref="AJ10">(AI10*(1+Table6[[#This Row],[Σεπ-23]]))/SUMPRODUCT(AI$2:AI$49,(1+'Monthly Returns'!AI$2:AI$49))</f>
        <v>1.5208944822131224E-2</v>
      </c>
      <c r="AK10" s="107" cm="1">
        <f t="array" ref="AK10">(AJ10*(1+Table6[[#This Row],[Οκτ-23]]))/SUMPRODUCT(AJ$2:AJ$49,(1+'Monthly Returns'!AJ$2:AJ$49))</f>
        <v>1.6281812461048477E-2</v>
      </c>
      <c r="AL10" s="107" cm="1">
        <f t="array" ref="AL10">(AK10*(1+Table6[[#This Row],[Νοε-23]]))/SUMPRODUCT(AK$2:AK$49,(1+'Monthly Returns'!AK$2:AK$49))</f>
        <v>1.5477942266152853E-2</v>
      </c>
      <c r="AM10" s="109">
        <v>1.4081379889628086E-2</v>
      </c>
      <c r="AN10" s="107" cm="1">
        <f t="array" ref="AN10">(AM10*(1+Table6[[#This Row],[Ιαν-24]]))/SUMPRODUCT(AM$2:AM$49,(1+'Monthly Returns'!AM$2:AM$49))</f>
        <v>1.4501092256863673E-2</v>
      </c>
      <c r="AO10" s="107" cm="1">
        <f t="array" ref="AO10">(AN10*(1+Table6[[#This Row],[Φεβ-24]]))/SUMPRODUCT(AN$2:AN$49,(1+'Monthly Returns'!AN$2:AN$49))</f>
        <v>1.539269069559882E-2</v>
      </c>
      <c r="AP10" s="107" cm="1">
        <f t="array" ref="AP10">(AO10*(1+Table6[[#This Row],[Μαρ-24]]))/SUMPRODUCT(AO$2:AO$49,(1+'Monthly Returns'!AO$2:AO$49))</f>
        <v>1.525796220605791E-2</v>
      </c>
      <c r="AQ10" s="107" cm="1">
        <f t="array" ref="AQ10">(AP10*(1+Table6[[#This Row],[Απρ-24]]))/SUMPRODUCT(AP$2:AP$49,(1+'Monthly Returns'!AP$2:AP$49))</f>
        <v>1.4473428415259953E-2</v>
      </c>
      <c r="AR10" s="109">
        <v>1.4081379889628086E-2</v>
      </c>
      <c r="AS10" s="107" cm="1">
        <f t="array" ref="AS10">(AR10*(1+Table6[[#This Row],[Ιουν-24]]))/SUMPRODUCT(AR$2:AR$49,(1+'Monthly Returns'!AR$2:AR$49))</f>
        <v>1.449187200719434E-2</v>
      </c>
      <c r="AT10" s="107" cm="1">
        <f t="array" ref="AT10">(AS10*(1+Table6[[#This Row],[Ιουλ-24]]))/SUMPRODUCT(AS$2:AS$49,(1+'Monthly Returns'!AS$2:AS$49))</f>
        <v>1.3710881741186521E-2</v>
      </c>
      <c r="AU10" s="107" cm="1">
        <f t="array" ref="AU10">(AT10*(1+Table6[[#This Row],[Αυγ-24]]))/SUMPRODUCT(AT$2:AT$49,(1+'Monthly Returns'!AT$2:AT$49))</f>
        <v>1.4407443143600767E-2</v>
      </c>
      <c r="AV10" s="107" cm="1">
        <f t="array" ref="AV10">(AU10*(1+Table6[[#This Row],[Σεπ-24]]))/SUMPRODUCT(AU$2:AU$49,(1+'Monthly Returns'!AU$2:AU$49))</f>
        <v>1.4567512895264341E-2</v>
      </c>
      <c r="AW10" s="107" cm="1">
        <f t="array" ref="AW10">(AV10*(1+Table6[[#This Row],[Οκτ-24]]))/SUMPRODUCT(AV$2:AV$49,(1+'Monthly Returns'!AV$2:AV$49))</f>
        <v>1.4141166842639247E-2</v>
      </c>
      <c r="AX10" s="107" cm="1">
        <f t="array" ref="AX10">(AW10*(1+Table6[[#This Row],[Νοε-24]]))/SUMPRODUCT(AW$2:AW$49,(1+'Monthly Returns'!AW$2:AW$49))</f>
        <v>1.4588330360404073E-2</v>
      </c>
      <c r="AY10" s="109">
        <v>1.4081379889628086E-2</v>
      </c>
      <c r="AZ10" s="107" cm="1">
        <f t="array" ref="AZ10">(AY10*(1+Table6[[#This Row],[Ιαν-25]]))/SUMPRODUCT(AY$2:AY$49,(1+'Monthly Returns'!AY$2:AY$49))</f>
        <v>1.3993951153279472E-2</v>
      </c>
      <c r="BA10" s="107" cm="1">
        <f t="array" ref="BA10">(AZ10*(1+Table6[[#This Row],[Φεβ-25]]))/SUMPRODUCT(AZ$2:AZ$49,(1+'Monthly Returns'!AZ$2:AZ$49))</f>
        <v>1.3903970873716252E-2</v>
      </c>
      <c r="BB10" s="107" cm="1">
        <f t="array" ref="BB10">(BA10*(1+Table6[[#This Row],[Μαρ-25]]))/SUMPRODUCT(BA$2:BA$49,(1+'Monthly Returns'!BA$2:BA$49))</f>
        <v>1.5276484863643639E-2</v>
      </c>
      <c r="BC10" s="107" cm="1">
        <f t="array" ref="BC10">(BB10*(1+Table6[[#This Row],[Απρ-25]]))/SUMPRODUCT(BB$2:BB$49,(1+'Monthly Returns'!BB$2:BB$49))</f>
        <v>1.564435560889724E-2</v>
      </c>
      <c r="BD10" s="109">
        <v>1.4081379889628086E-2</v>
      </c>
      <c r="BE10" s="106"/>
      <c r="BF10" s="106"/>
      <c r="BG10" s="106"/>
      <c r="BH10" s="106"/>
      <c r="BI10" s="106"/>
      <c r="BJ10" s="106"/>
      <c r="BK10" s="106"/>
      <c r="BL10" s="106"/>
      <c r="BM10" s="106"/>
      <c r="BN10" s="106"/>
      <c r="BO10" s="106"/>
      <c r="BP10" s="106"/>
      <c r="BQ10" s="106"/>
      <c r="BR10" s="106"/>
      <c r="BS10" s="106"/>
      <c r="BT10" s="106"/>
      <c r="BU10" s="106"/>
      <c r="BV10" s="106"/>
      <c r="BW10" s="106"/>
      <c r="BX10" s="106"/>
      <c r="BY10" s="106"/>
      <c r="BZ10" s="106"/>
      <c r="CA10" s="106"/>
      <c r="CB10" s="106"/>
      <c r="CC10" s="106"/>
      <c r="CD10" s="106"/>
      <c r="CE10" s="106"/>
      <c r="CF10" s="106"/>
      <c r="CG10" s="106"/>
      <c r="CH10" s="106"/>
      <c r="CI10" s="106"/>
      <c r="CJ10" s="106"/>
      <c r="CK10" s="106"/>
      <c r="CL10" s="106"/>
      <c r="CM10" s="106"/>
      <c r="CN10" s="106"/>
    </row>
    <row r="11" spans="1:92">
      <c r="A11" s="110" t="s">
        <v>113</v>
      </c>
      <c r="B11" s="110" t="s">
        <v>114</v>
      </c>
      <c r="C11" s="109">
        <v>8.0185635482604382E-3</v>
      </c>
      <c r="D11" s="107" cm="1">
        <f t="array" ref="D11">(Table684[[#This Row],[Ιαν-21]]*(1+Table6[[#This Row],[Ιαν-21]]))/SUMPRODUCT(C$2:C$49,(1+'Monthly Returns'!C$2:C$49))</f>
        <v>7.6872223729179427E-3</v>
      </c>
      <c r="E11" s="107" cm="1">
        <f t="array" ref="E11">(Table684[[#This Row],[Φεβ-21]]*(1+Table6[[#This Row],[Φεβ-21]]))/SUMPRODUCT(D$2:D$49,(1+'Monthly Returns'!D$2:D$49))</f>
        <v>7.8861757980661865E-3</v>
      </c>
      <c r="F11" s="107" cm="1">
        <f t="array" ref="F11">(Table684[[#This Row],[Μαρ-21]]*(1+Table6[[#This Row],[Μαρ-21]]))/SUMPRODUCT(E$2:E$49,(1+'Monthly Returns'!E$2:E$49))</f>
        <v>7.9788413875921567E-3</v>
      </c>
      <c r="G11" s="107" cm="1">
        <f t="array" ref="G11">(Table684[[#This Row],[Απρ-21]]*(1+Table6[[#This Row],[Απρ-21]]))/SUMPRODUCT(F$2:F$49,(1+'Monthly Returns'!F$2:F$49))</f>
        <v>7.7241658124070712E-3</v>
      </c>
      <c r="H11" s="109">
        <v>8.0185635482604382E-3</v>
      </c>
      <c r="I11" s="107" cm="1">
        <f t="array" ref="I11">(Table684[[#This Row],[Ιουν-21]]*(1+Table6[[#This Row],[Ιουν-21]]))/SUMPRODUCT(H$2:H$49,(1+'Monthly Returns'!H$2:H$49))</f>
        <v>7.6449103053006298E-3</v>
      </c>
      <c r="J11" s="107" cm="1">
        <f t="array" ref="J11">(Table684[[#This Row],[Ιουλ-21]]*(1+Table6[[#This Row],[Ιουλ-21]]))/SUMPRODUCT(I$2:I$49,(1+'Monthly Returns'!I$2:I$49))</f>
        <v>7.5655405500543163E-3</v>
      </c>
      <c r="K11" s="107" cm="1">
        <f t="array" ref="K11">(Table684[[#This Row],[Αυγ-21]]*(1+Table6[[#This Row],[Αυγ-21]]))/SUMPRODUCT(J$2:J$49,(1+'Monthly Returns'!J$2:J$49))</f>
        <v>7.5262669689546719E-3</v>
      </c>
      <c r="L11" s="107" cm="1">
        <f t="array" ref="L11">(Table684[[#This Row],[Σεπ-21]]*(1+Table6[[#This Row],[Σεπ-21]]))/SUMPRODUCT(K$2:K$49,(1+'Monthly Returns'!K$2:K$49))</f>
        <v>7.3307193661884167E-3</v>
      </c>
      <c r="M11" s="107" cm="1">
        <f t="array" ref="M11">(Table684[[#This Row],[Οκτ-21]]*(1+Table6[[#This Row],[Οκτ-21]]))/SUMPRODUCT(L$2:L$49,(1+'Monthly Returns'!L$2:L$49))</f>
        <v>7.9260275716843392E-3</v>
      </c>
      <c r="N11" s="107" cm="1">
        <f t="array" ref="N11">(Table684[[#This Row],[Νοε-21]]*(1+Table6[[#This Row],[Νοε-21]]))/SUMPRODUCT(M$2:M$49,(1+'Monthly Returns'!M$2:M$49))</f>
        <v>8.1749008459589007E-3</v>
      </c>
      <c r="O11" s="109">
        <v>8.0185635482604382E-3</v>
      </c>
      <c r="P11" s="107" cm="1">
        <f t="array" ref="P11">(O11*(1+Table6[[#This Row],[Ιαν-22]]))/SUMPRODUCT(O$2:O$49,(1+'Monthly Returns'!O$2:O$49))</f>
        <v>8.9117353829032218E-3</v>
      </c>
      <c r="Q11" s="107" cm="1">
        <f t="array" ref="Q11">(P11*(1+Table6[[#This Row],[Φεβ-22]]))/SUMPRODUCT(P$2:P$49,(1+'Monthly Returns'!P$2:P$49))</f>
        <v>8.2005724437889411E-3</v>
      </c>
      <c r="R11" s="107" cm="1">
        <f t="array" ref="R11">(Q11*(1+Table6[[#This Row],[Μαρ-22]]))/SUMPRODUCT(Q$2:Q$49,(1+'Monthly Returns'!Q$2:Q$49))</f>
        <v>8.1647479468270646E-3</v>
      </c>
      <c r="S11" s="107" cm="1">
        <f t="array" ref="S11">(R11*(1+Table6[[#This Row],[Απρ-22]]))/SUMPRODUCT(R$2:R$49,(1+'Monthly Returns'!R$2:R$49))</f>
        <v>7.8736474843149433E-3</v>
      </c>
      <c r="T11" s="109">
        <v>8.0185635482604382E-3</v>
      </c>
      <c r="U11" s="107" cm="1">
        <f t="array" ref="U11">(T11*(1+Table6[[#This Row],[Ιουν-22]]))/SUMPRODUCT(T$2:T$49,(1+'Monthly Returns'!T$2:T$49))</f>
        <v>8.3976012128454298E-3</v>
      </c>
      <c r="V11" s="107" cm="1">
        <f t="array" ref="V11">(U11*(1+Table6[[#This Row],[Ιουλ-22]]))/SUMPRODUCT(U$2:U$49,(1+'Monthly Returns'!U$2:U$49))</f>
        <v>7.851000032790708E-3</v>
      </c>
      <c r="W11" s="107" cm="1">
        <f t="array" ref="W11">(V11*(1+Table6[[#This Row],[Αυγ-22]]))/SUMPRODUCT(V$2:V$49,(1+'Monthly Returns'!V$2:V$49))</f>
        <v>8.7540430457006876E-3</v>
      </c>
      <c r="X11" s="107" cm="1">
        <f t="array" ref="X11">(W11*(1+Table6[[#This Row],[Σεπ-22]]))/SUMPRODUCT(W$2:W$49,(1+'Monthly Returns'!W$2:W$49))</f>
        <v>9.0295909243523556E-3</v>
      </c>
      <c r="Y11" s="107" cm="1">
        <f t="array" ref="Y11">(X11*(1+Table6[[#This Row],[Οκτ-22]]))/SUMPRODUCT(X$2:X$49,(1+'Monthly Returns'!X$2:X$49))</f>
        <v>8.3184449007240105E-3</v>
      </c>
      <c r="Z11" s="107" cm="1">
        <f t="array" ref="Z11">(Y11*(1+Table6[[#This Row],[Νοε-22]]))/SUMPRODUCT(Y$2:Y$49,(1+'Monthly Returns'!Y$2:Y$49))</f>
        <v>8.8132039333331646E-3</v>
      </c>
      <c r="AA11" s="109">
        <v>8.0185635482604382E-3</v>
      </c>
      <c r="AB11" s="107" cm="1">
        <f t="array" ref="AB11">(AA11*(1+Table6[[#This Row],[Ιαν-23]]))/SUMPRODUCT(AA$2:AA$49,(1+'Monthly Returns'!AA$2:AA$49))</f>
        <v>8.0484044772106255E-3</v>
      </c>
      <c r="AC11" s="107" cm="1">
        <f t="array" ref="AC11">(AB11*(1+Table6[[#This Row],[Φεβ-23]]))/SUMPRODUCT(AB$2:AB$49,(1+'Monthly Returns'!AB$2:AB$49))</f>
        <v>8.1492054509699988E-3</v>
      </c>
      <c r="AD11" s="107" cm="1">
        <f t="array" ref="AD11">(AC11*(1+Table6[[#This Row],[Μαρ-23]]))/SUMPRODUCT(AC$2:AC$49,(1+'Monthly Returns'!AC$2:AC$49))</f>
        <v>7.7624290537603941E-3</v>
      </c>
      <c r="AE11" s="107" cm="1">
        <f t="array" ref="AE11">(AD11*(1+Table6[[#This Row],[Απρ-23]]))/SUMPRODUCT(AD$2:AD$49,(1+'Monthly Returns'!AD$2:AD$49))</f>
        <v>7.7552700546794232E-3</v>
      </c>
      <c r="AF11" s="109">
        <v>8.0185635482604382E-3</v>
      </c>
      <c r="AG11" s="107" cm="1">
        <f t="array" ref="AG11">(AF11*(1+Table6[[#This Row],[Ιουν-23]]))/SUMPRODUCT(AF$2:AF$49,(1+'Monthly Returns'!AF$2:AF$49))</f>
        <v>7.6391731641200179E-3</v>
      </c>
      <c r="AH11" s="107" cm="1">
        <f t="array" ref="AH11">(AG11*(1+Table6[[#This Row],[Ιουλ-23]]))/SUMPRODUCT(AG$2:AG$49,(1+'Monthly Returns'!AG$2:AG$49))</f>
        <v>7.7115998419823913E-3</v>
      </c>
      <c r="AI11" s="107" cm="1">
        <f t="array" ref="AI11">(AH11*(1+Table6[[#This Row],[Αυγ-23]]))/SUMPRODUCT(AH$2:AH$49,(1+'Monthly Returns'!AH$2:AH$49))</f>
        <v>7.4293338062886103E-3</v>
      </c>
      <c r="AJ11" s="107" cm="1">
        <f t="array" ref="AJ11">(AI11*(1+Table6[[#This Row],[Σεπ-23]]))/SUMPRODUCT(AI$2:AI$49,(1+'Monthly Returns'!AI$2:AI$49))</f>
        <v>8.19046348161683E-3</v>
      </c>
      <c r="AK11" s="107" cm="1">
        <f t="array" ref="AK11">(AJ11*(1+Table6[[#This Row],[Οκτ-23]]))/SUMPRODUCT(AJ$2:AJ$49,(1+'Monthly Returns'!AJ$2:AJ$49))</f>
        <v>9.0077242833954893E-3</v>
      </c>
      <c r="AL11" s="107" cm="1">
        <f t="array" ref="AL11">(AK11*(1+Table6[[#This Row],[Νοε-23]]))/SUMPRODUCT(AK$2:AK$49,(1+'Monthly Returns'!AK$2:AK$49))</f>
        <v>8.7087313703004855E-3</v>
      </c>
      <c r="AM11" s="109">
        <v>8.0185635482604382E-3</v>
      </c>
      <c r="AN11" s="107" cm="1">
        <f t="array" ref="AN11">(AM11*(1+Table6[[#This Row],[Ιαν-24]]))/SUMPRODUCT(AM$2:AM$49,(1+'Monthly Returns'!AM$2:AM$49))</f>
        <v>8.223669015337675E-3</v>
      </c>
      <c r="AO11" s="107" cm="1">
        <f t="array" ref="AO11">(AN11*(1+Table6[[#This Row],[Φεβ-24]]))/SUMPRODUCT(AN$2:AN$49,(1+'Monthly Returns'!AN$2:AN$49))</f>
        <v>8.3549152021318678E-3</v>
      </c>
      <c r="AP11" s="107" cm="1">
        <f t="array" ref="AP11">(AO11*(1+Table6[[#This Row],[Μαρ-24]]))/SUMPRODUCT(AO$2:AO$49,(1+'Monthly Returns'!AO$2:AO$49))</f>
        <v>8.4496553586968018E-3</v>
      </c>
      <c r="AQ11" s="107" cm="1">
        <f t="array" ref="AQ11">(AP11*(1+Table6[[#This Row],[Απρ-24]]))/SUMPRODUCT(AP$2:AP$49,(1+'Monthly Returns'!AP$2:AP$49))</f>
        <v>7.6823891302577529E-3</v>
      </c>
      <c r="AR11" s="109">
        <v>8.0185635482604382E-3</v>
      </c>
      <c r="AS11" s="107" cm="1">
        <f t="array" ref="AS11">(AR11*(1+Table6[[#This Row],[Ιουν-24]]))/SUMPRODUCT(AR$2:AR$49,(1+'Monthly Returns'!AR$2:AR$49))</f>
        <v>8.0251582690252961E-3</v>
      </c>
      <c r="AT11" s="107" cm="1">
        <f t="array" ref="AT11">(AS11*(1+Table6[[#This Row],[Ιουλ-24]]))/SUMPRODUCT(AS$2:AS$49,(1+'Monthly Returns'!AS$2:AS$49))</f>
        <v>7.6816644896685249E-3</v>
      </c>
      <c r="AU11" s="107" cm="1">
        <f t="array" ref="AU11">(AT11*(1+Table6[[#This Row],[Αυγ-24]]))/SUMPRODUCT(AT$2:AT$49,(1+'Monthly Returns'!AT$2:AT$49))</f>
        <v>8.0771554733441997E-3</v>
      </c>
      <c r="AV11" s="107" cm="1">
        <f t="array" ref="AV11">(AU11*(1+Table6[[#This Row],[Σεπ-24]]))/SUMPRODUCT(AU$2:AU$49,(1+'Monthly Returns'!AU$2:AU$49))</f>
        <v>8.1361978484706908E-3</v>
      </c>
      <c r="AW11" s="107" cm="1">
        <f t="array" ref="AW11">(AV11*(1+Table6[[#This Row],[Οκτ-24]]))/SUMPRODUCT(AV$2:AV$49,(1+'Monthly Returns'!AV$2:AV$49))</f>
        <v>7.903069487559403E-3</v>
      </c>
      <c r="AX11" s="107" cm="1">
        <f t="array" ref="AX11">(AW11*(1+Table6[[#This Row],[Νοε-24]]))/SUMPRODUCT(AW$2:AW$49,(1+'Monthly Returns'!AW$2:AW$49))</f>
        <v>9.2155635538179077E-3</v>
      </c>
      <c r="AY11" s="109">
        <v>8.0185635482604382E-3</v>
      </c>
      <c r="AZ11" s="107" cm="1">
        <f t="array" ref="AZ11">(AY11*(1+Table6[[#This Row],[Ιαν-25]]))/SUMPRODUCT(AY$2:AY$49,(1+'Monthly Returns'!AY$2:AY$49))</f>
        <v>7.8711795833726825E-3</v>
      </c>
      <c r="BA11" s="107" cm="1">
        <f t="array" ref="BA11">(AZ11*(1+Table6[[#This Row],[Φεβ-25]]))/SUMPRODUCT(AZ$2:AZ$49,(1+'Monthly Returns'!AZ$2:AZ$49))</f>
        <v>7.8288131642933224E-3</v>
      </c>
      <c r="BB11" s="107" cm="1">
        <f t="array" ref="BB11">(BA11*(1+Table6[[#This Row],[Μαρ-25]]))/SUMPRODUCT(BA$2:BA$49,(1+'Monthly Returns'!BA$2:BA$49))</f>
        <v>8.1643358439617789E-3</v>
      </c>
      <c r="BC11" s="107" cm="1">
        <f t="array" ref="BC11">(BB11*(1+Table6[[#This Row],[Απρ-25]]))/SUMPRODUCT(BB$2:BB$49,(1+'Monthly Returns'!BB$2:BB$49))</f>
        <v>8.5327123819546376E-3</v>
      </c>
      <c r="BD11" s="109">
        <v>8.0185635482604382E-3</v>
      </c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</row>
    <row r="12" spans="1:92">
      <c r="A12" s="110" t="s">
        <v>121</v>
      </c>
      <c r="B12" s="110" t="s">
        <v>122</v>
      </c>
      <c r="C12" s="109">
        <v>6.6495405034354841E-3</v>
      </c>
      <c r="D12" s="107" cm="1">
        <f t="array" ref="D12">(Table684[[#This Row],[Ιαν-21]]*(1+Table6[[#This Row],[Ιαν-21]]))/SUMPRODUCT(C$2:C$49,(1+'Monthly Returns'!C$2:C$49))</f>
        <v>6.6444198442710562E-3</v>
      </c>
      <c r="E12" s="107" cm="1">
        <f t="array" ref="E12">(Table684[[#This Row],[Φεβ-21]]*(1+Table6[[#This Row],[Φεβ-21]]))/SUMPRODUCT(D$2:D$49,(1+'Monthly Returns'!D$2:D$49))</f>
        <v>7.046236294276074E-3</v>
      </c>
      <c r="F12" s="107" cm="1">
        <f t="array" ref="F12">(Table684[[#This Row],[Μαρ-21]]*(1+Table6[[#This Row],[Μαρ-21]]))/SUMPRODUCT(E$2:E$49,(1+'Monthly Returns'!E$2:E$49))</f>
        <v>7.2398975342308032E-3</v>
      </c>
      <c r="G12" s="107" cm="1">
        <f t="array" ref="G12">(Table684[[#This Row],[Απρ-21]]*(1+Table6[[#This Row],[Απρ-21]]))/SUMPRODUCT(F$2:F$49,(1+'Monthly Returns'!F$2:F$49))</f>
        <v>6.9618265578302941E-3</v>
      </c>
      <c r="H12" s="109">
        <v>6.6495405034354841E-3</v>
      </c>
      <c r="I12" s="107" cm="1">
        <f t="array" ref="I12">(Table684[[#This Row],[Ιουν-21]]*(1+Table6[[#This Row],[Ιουν-21]]))/SUMPRODUCT(H$2:H$49,(1+'Monthly Returns'!H$2:H$49))</f>
        <v>6.5825839077355728E-3</v>
      </c>
      <c r="J12" s="107" cm="1">
        <f t="array" ref="J12">(Table684[[#This Row],[Ιουλ-21]]*(1+Table6[[#This Row],[Ιουλ-21]]))/SUMPRODUCT(I$2:I$49,(1+'Monthly Returns'!I$2:I$49))</f>
        <v>6.4765548763741285E-3</v>
      </c>
      <c r="K12" s="107" cm="1">
        <f t="array" ref="K12">(Table684[[#This Row],[Αυγ-21]]*(1+Table6[[#This Row],[Αυγ-21]]))/SUMPRODUCT(J$2:J$49,(1+'Monthly Returns'!J$2:J$49))</f>
        <v>6.4675449646117104E-3</v>
      </c>
      <c r="L12" s="107" cm="1">
        <f t="array" ref="L12">(Table684[[#This Row],[Σεπ-21]]*(1+Table6[[#This Row],[Σεπ-21]]))/SUMPRODUCT(K$2:K$49,(1+'Monthly Returns'!K$2:K$49))</f>
        <v>7.0495407488304655E-3</v>
      </c>
      <c r="M12" s="107" cm="1">
        <f t="array" ref="M12">(Table684[[#This Row],[Οκτ-21]]*(1+Table6[[#This Row],[Οκτ-21]]))/SUMPRODUCT(L$2:L$49,(1+'Monthly Returns'!L$2:L$49))</f>
        <v>7.0864979712406016E-3</v>
      </c>
      <c r="N12" s="107" cm="1">
        <f t="array" ref="N12">(Table684[[#This Row],[Νοε-21]]*(1+Table6[[#This Row],[Νοε-21]]))/SUMPRODUCT(M$2:M$49,(1+'Monthly Returns'!M$2:M$49))</f>
        <v>6.9365908775841541E-3</v>
      </c>
      <c r="O12" s="109">
        <v>6.6495405034354841E-3</v>
      </c>
      <c r="P12" s="107" cm="1">
        <f t="array" ref="P12">(O12*(1+Table6[[#This Row],[Ιαν-22]]))/SUMPRODUCT(O$2:O$49,(1+'Monthly Returns'!O$2:O$49))</f>
        <v>6.688688622325494E-3</v>
      </c>
      <c r="Q12" s="107" cm="1">
        <f t="array" ref="Q12">(P12*(1+Table6[[#This Row],[Φεβ-22]]))/SUMPRODUCT(P$2:P$49,(1+'Monthly Returns'!P$2:P$49))</f>
        <v>6.6182452048538527E-3</v>
      </c>
      <c r="R12" s="107" cm="1">
        <f t="array" ref="R12">(Q12*(1+Table6[[#This Row],[Μαρ-22]]))/SUMPRODUCT(Q$2:Q$49,(1+'Monthly Returns'!Q$2:Q$49))</f>
        <v>7.6369250087155493E-3</v>
      </c>
      <c r="S12" s="107" cm="1">
        <f t="array" ref="S12">(R12*(1+Table6[[#This Row],[Απρ-22]]))/SUMPRODUCT(R$2:R$49,(1+'Monthly Returns'!R$2:R$49))</f>
        <v>6.5991019350379442E-3</v>
      </c>
      <c r="T12" s="109">
        <v>6.6495405034354841E-3</v>
      </c>
      <c r="U12" s="107" cm="1">
        <f t="array" ref="U12">(T12*(1+Table6[[#This Row],[Ιουν-22]]))/SUMPRODUCT(T$2:T$49,(1+'Monthly Returns'!T$2:T$49))</f>
        <v>6.4858388867802029E-3</v>
      </c>
      <c r="V12" s="107" cm="1">
        <f t="array" ref="V12">(U12*(1+Table6[[#This Row],[Ιουλ-22]]))/SUMPRODUCT(U$2:U$49,(1+'Monthly Returns'!U$2:U$49))</f>
        <v>5.8534867820325088E-3</v>
      </c>
      <c r="W12" s="107" cm="1">
        <f t="array" ref="W12">(V12*(1+Table6[[#This Row],[Αυγ-22]]))/SUMPRODUCT(V$2:V$49,(1+'Monthly Returns'!V$2:V$49))</f>
        <v>6.1918270564641931E-3</v>
      </c>
      <c r="X12" s="107" cm="1">
        <f t="array" ref="X12">(W12*(1+Table6[[#This Row],[Σεπ-22]]))/SUMPRODUCT(W$2:W$49,(1+'Monthly Returns'!W$2:W$49))</f>
        <v>6.256063666791223E-3</v>
      </c>
      <c r="Y12" s="107" cm="1">
        <f t="array" ref="Y12">(X12*(1+Table6[[#This Row],[Οκτ-22]]))/SUMPRODUCT(X$2:X$49,(1+'Monthly Returns'!X$2:X$49))</f>
        <v>6.3095817836645368E-3</v>
      </c>
      <c r="Z12" s="107" cm="1">
        <f t="array" ref="Z12">(Y12*(1+Table6[[#This Row],[Νοε-22]]))/SUMPRODUCT(Y$2:Y$49,(1+'Monthly Returns'!Y$2:Y$49))</f>
        <v>6.5302686764082763E-3</v>
      </c>
      <c r="AA12" s="109">
        <v>6.6495405034354841E-3</v>
      </c>
      <c r="AB12" s="107" cm="1">
        <f t="array" ref="AB12">(AA12*(1+Table6[[#This Row],[Ιαν-23]]))/SUMPRODUCT(AA$2:AA$49,(1+'Monthly Returns'!AA$2:AA$49))</f>
        <v>6.5688004722109462E-3</v>
      </c>
      <c r="AC12" s="107" cm="1">
        <f t="array" ref="AC12">(AB12*(1+Table6[[#This Row],[Φεβ-23]]))/SUMPRODUCT(AB$2:AB$49,(1+'Monthly Returns'!AB$2:AB$49))</f>
        <v>6.7459473652175432E-3</v>
      </c>
      <c r="AD12" s="107" cm="1">
        <f t="array" ref="AD12">(AC12*(1+Table6[[#This Row],[Μαρ-23]]))/SUMPRODUCT(AC$2:AC$49,(1+'Monthly Returns'!AC$2:AC$49))</f>
        <v>6.599768538784888E-3</v>
      </c>
      <c r="AE12" s="107" cm="1">
        <f t="array" ref="AE12">(AD12*(1+Table6[[#This Row],[Απρ-23]]))/SUMPRODUCT(AD$2:AD$49,(1+'Monthly Returns'!AD$2:AD$49))</f>
        <v>6.5968929225961133E-3</v>
      </c>
      <c r="AF12" s="109">
        <v>6.6495405034354841E-3</v>
      </c>
      <c r="AG12" s="107" cm="1">
        <f t="array" ref="AG12">(AF12*(1+Table6[[#This Row],[Ιουν-23]]))/SUMPRODUCT(AF$2:AF$49,(1+'Monthly Returns'!AF$2:AF$49))</f>
        <v>6.7751716607458694E-3</v>
      </c>
      <c r="AH12" s="107" cm="1">
        <f t="array" ref="AH12">(AG12*(1+Table6[[#This Row],[Ιουλ-23]]))/SUMPRODUCT(AG$2:AG$49,(1+'Monthly Returns'!AG$2:AG$49))</f>
        <v>6.9084380564562297E-3</v>
      </c>
      <c r="AI12" s="107" cm="1">
        <f t="array" ref="AI12">(AH12*(1+Table6[[#This Row],[Αυγ-23]]))/SUMPRODUCT(AH$2:AH$49,(1+'Monthly Returns'!AH$2:AH$49))</f>
        <v>6.9513417909962015E-3</v>
      </c>
      <c r="AJ12" s="107" cm="1">
        <f t="array" ref="AJ12">(AI12*(1+Table6[[#This Row],[Σεπ-23]]))/SUMPRODUCT(AI$2:AI$49,(1+'Monthly Returns'!AI$2:AI$49))</f>
        <v>7.1421125132591773E-3</v>
      </c>
      <c r="AK12" s="107" cm="1">
        <f t="array" ref="AK12">(AJ12*(1+Table6[[#This Row],[Οκτ-23]]))/SUMPRODUCT(AJ$2:AJ$49,(1+'Monthly Returns'!AJ$2:AJ$49))</f>
        <v>7.194071554143716E-3</v>
      </c>
      <c r="AL12" s="107" cm="1">
        <f t="array" ref="AL12">(AK12*(1+Table6[[#This Row],[Νοε-23]]))/SUMPRODUCT(AK$2:AK$49,(1+'Monthly Returns'!AK$2:AK$49))</f>
        <v>6.7052938094523847E-3</v>
      </c>
      <c r="AM12" s="109">
        <v>6.6495405034354841E-3</v>
      </c>
      <c r="AN12" s="107" cm="1">
        <f t="array" ref="AN12">(AM12*(1+Table6[[#This Row],[Ιαν-24]]))/SUMPRODUCT(AM$2:AM$49,(1+'Monthly Returns'!AM$2:AM$49))</f>
        <v>7.0798093222253248E-3</v>
      </c>
      <c r="AO12" s="107" cm="1">
        <f t="array" ref="AO12">(AN12*(1+Table6[[#This Row],[Φεβ-24]]))/SUMPRODUCT(AN$2:AN$49,(1+'Monthly Returns'!AN$2:AN$49))</f>
        <v>7.2495978739161929E-3</v>
      </c>
      <c r="AP12" s="107" cm="1">
        <f t="array" ref="AP12">(AO12*(1+Table6[[#This Row],[Μαρ-24]]))/SUMPRODUCT(AO$2:AO$49,(1+'Monthly Returns'!AO$2:AO$49))</f>
        <v>7.3537908191405868E-3</v>
      </c>
      <c r="AQ12" s="107" cm="1">
        <f t="array" ref="AQ12">(AP12*(1+Table6[[#This Row],[Απρ-24]]))/SUMPRODUCT(AP$2:AP$49,(1+'Monthly Returns'!AP$2:AP$49))</f>
        <v>7.1938246755447986E-3</v>
      </c>
      <c r="AR12" s="109">
        <v>6.6495405034354841E-3</v>
      </c>
      <c r="AS12" s="107" cm="1">
        <f t="array" ref="AS12">(AR12*(1+Table6[[#This Row],[Ιουν-24]]))/SUMPRODUCT(AR$2:AR$49,(1+'Monthly Returns'!AR$2:AR$49))</f>
        <v>6.6395356596075702E-3</v>
      </c>
      <c r="AT12" s="107" cm="1">
        <f t="array" ref="AT12">(AS12*(1+Table6[[#This Row],[Ιουλ-24]]))/SUMPRODUCT(AS$2:AS$49,(1+'Monthly Returns'!AS$2:AS$49))</f>
        <v>6.6363024129608757E-3</v>
      </c>
      <c r="AU12" s="107" cm="1">
        <f t="array" ref="AU12">(AT12*(1+Table6[[#This Row],[Αυγ-24]]))/SUMPRODUCT(AT$2:AT$49,(1+'Monthly Returns'!AT$2:AT$49))</f>
        <v>6.7175910985908674E-3</v>
      </c>
      <c r="AV12" s="107" cm="1">
        <f t="array" ref="AV12">(AU12*(1+Table6[[#This Row],[Σεπ-24]]))/SUMPRODUCT(AU$2:AU$49,(1+'Monthly Returns'!AU$2:AU$49))</f>
        <v>7.0072113106072285E-3</v>
      </c>
      <c r="AW12" s="107" cm="1">
        <f t="array" ref="AW12">(AV12*(1+Table6[[#This Row],[Οκτ-24]]))/SUMPRODUCT(AV$2:AV$49,(1+'Monthly Returns'!AV$2:AV$49))</f>
        <v>7.0565578694583089E-3</v>
      </c>
      <c r="AX12" s="107" cm="1">
        <f t="array" ref="AX12">(AW12*(1+Table6[[#This Row],[Νοε-24]]))/SUMPRODUCT(AW$2:AW$49,(1+'Monthly Returns'!AW$2:AW$49))</f>
        <v>7.3455349565522653E-3</v>
      </c>
      <c r="AY12" s="109">
        <v>6.6495405034354841E-3</v>
      </c>
      <c r="AZ12" s="107" cm="1">
        <f t="array" ref="AZ12">(AY12*(1+Table6[[#This Row],[Ιαν-25]]))/SUMPRODUCT(AY$2:AY$49,(1+'Monthly Returns'!AY$2:AY$49))</f>
        <v>6.9394088366673814E-3</v>
      </c>
      <c r="BA12" s="107" cm="1">
        <f t="array" ref="BA12">(AZ12*(1+Table6[[#This Row],[Φεβ-25]]))/SUMPRODUCT(AZ$2:AZ$49,(1+'Monthly Returns'!AZ$2:AZ$49))</f>
        <v>6.8472112362549763E-3</v>
      </c>
      <c r="BB12" s="107" cm="1">
        <f t="array" ref="BB12">(BA12*(1+Table6[[#This Row],[Μαρ-25]]))/SUMPRODUCT(BA$2:BA$49,(1+'Monthly Returns'!BA$2:BA$49))</f>
        <v>7.1462688145478223E-3</v>
      </c>
      <c r="BC12" s="107" cm="1">
        <f t="array" ref="BC12">(BB12*(1+Table6[[#This Row],[Απρ-25]]))/SUMPRODUCT(BB$2:BB$49,(1+'Monthly Returns'!BB$2:BB$49))</f>
        <v>7.0396367884623338E-3</v>
      </c>
      <c r="BD12" s="109">
        <v>6.6495405034354841E-3</v>
      </c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</row>
    <row r="13" spans="1:92">
      <c r="A13" s="110" t="s">
        <v>125</v>
      </c>
      <c r="B13" s="110" t="s">
        <v>126</v>
      </c>
      <c r="C13" s="109">
        <v>1.9377236852842771E-2</v>
      </c>
      <c r="D13" s="107" cm="1">
        <f t="array" ref="D13">(Table684[[#This Row],[Ιαν-21]]*(1+Table6[[#This Row],[Ιαν-21]]))/SUMPRODUCT(C$2:C$49,(1+'Monthly Returns'!C$2:C$49))</f>
        <v>2.0320534901713174E-2</v>
      </c>
      <c r="E13" s="107" cm="1">
        <f t="array" ref="E13">(Table684[[#This Row],[Φεβ-21]]*(1+Table6[[#This Row],[Φεβ-21]]))/SUMPRODUCT(D$2:D$49,(1+'Monthly Returns'!D$2:D$49))</f>
        <v>2.1018284656893642E-2</v>
      </c>
      <c r="F13" s="107" cm="1">
        <f t="array" ref="F13">(Table684[[#This Row],[Μαρ-21]]*(1+Table6[[#This Row],[Μαρ-21]]))/SUMPRODUCT(E$2:E$49,(1+'Monthly Returns'!E$2:E$49))</f>
        <v>2.0286933668693899E-2</v>
      </c>
      <c r="G13" s="107" cm="1">
        <f t="array" ref="G13">(Table684[[#This Row],[Απρ-21]]*(1+Table6[[#This Row],[Απρ-21]]))/SUMPRODUCT(F$2:F$49,(1+'Monthly Returns'!F$2:F$49))</f>
        <v>1.960548855837977E-2</v>
      </c>
      <c r="H13" s="109">
        <v>1.9377236852842771E-2</v>
      </c>
      <c r="I13" s="107" cm="1">
        <f t="array" ref="I13">(Table684[[#This Row],[Ιουν-21]]*(1+Table6[[#This Row],[Ιουν-21]]))/SUMPRODUCT(H$2:H$49,(1+'Monthly Returns'!H$2:H$49))</f>
        <v>1.8563957914349422E-2</v>
      </c>
      <c r="J13" s="107" cm="1">
        <f t="array" ref="J13">(Table684[[#This Row],[Ιουλ-21]]*(1+Table6[[#This Row],[Ιουλ-21]]))/SUMPRODUCT(I$2:I$49,(1+'Monthly Returns'!I$2:I$49))</f>
        <v>1.9727306719635077E-2</v>
      </c>
      <c r="K13" s="107" cm="1">
        <f t="array" ref="K13">(Table684[[#This Row],[Αυγ-21]]*(1+Table6[[#This Row],[Αυγ-21]]))/SUMPRODUCT(J$2:J$49,(1+'Monthly Returns'!J$2:J$49))</f>
        <v>1.9538404386063239E-2</v>
      </c>
      <c r="L13" s="107" cm="1">
        <f t="array" ref="L13">(Table684[[#This Row],[Σεπ-21]]*(1+Table6[[#This Row],[Σεπ-21]]))/SUMPRODUCT(K$2:K$49,(1+'Monthly Returns'!K$2:K$49))</f>
        <v>1.9642717250983474E-2</v>
      </c>
      <c r="M13" s="107" cm="1">
        <f t="array" ref="M13">(Table684[[#This Row],[Οκτ-21]]*(1+Table6[[#This Row],[Οκτ-21]]))/SUMPRODUCT(L$2:L$49,(1+'Monthly Returns'!L$2:L$49))</f>
        <v>2.1305504450464613E-2</v>
      </c>
      <c r="N13" s="107" cm="1">
        <f t="array" ref="N13">(Table684[[#This Row],[Νοε-21]]*(1+Table6[[#This Row],[Νοε-21]]))/SUMPRODUCT(M$2:M$49,(1+'Monthly Returns'!M$2:M$49))</f>
        <v>2.1577611059544966E-2</v>
      </c>
      <c r="O13" s="109">
        <v>1.9377236852842771E-2</v>
      </c>
      <c r="P13" s="107" cm="1">
        <f t="array" ref="P13">(O13*(1+Table6[[#This Row],[Ιαν-22]]))/SUMPRODUCT(O$2:O$49,(1+'Monthly Returns'!O$2:O$49))</f>
        <v>2.018317792785812E-2</v>
      </c>
      <c r="Q13" s="107" cm="1">
        <f t="array" ref="Q13">(P13*(1+Table6[[#This Row],[Φεβ-22]]))/SUMPRODUCT(P$2:P$49,(1+'Monthly Returns'!P$2:P$49))</f>
        <v>2.0943820701768357E-2</v>
      </c>
      <c r="R13" s="107" cm="1">
        <f t="array" ref="R13">(Q13*(1+Table6[[#This Row],[Μαρ-22]]))/SUMPRODUCT(Q$2:Q$49,(1+'Monthly Returns'!Q$2:Q$49))</f>
        <v>2.2331464019356602E-2</v>
      </c>
      <c r="S13" s="107" cm="1">
        <f t="array" ref="S13">(R13*(1+Table6[[#This Row],[Απρ-22]]))/SUMPRODUCT(R$2:R$49,(1+'Monthly Returns'!R$2:R$49))</f>
        <v>2.0884299233208229E-2</v>
      </c>
      <c r="T13" s="109">
        <v>1.9377236852842771E-2</v>
      </c>
      <c r="U13" s="107" cm="1">
        <f t="array" ref="U13">(T13*(1+Table6[[#This Row],[Ιουν-22]]))/SUMPRODUCT(T$2:T$49,(1+'Monthly Returns'!T$2:T$49))</f>
        <v>1.8462518677388001E-2</v>
      </c>
      <c r="V13" s="107" cm="1">
        <f t="array" ref="V13">(U13*(1+Table6[[#This Row],[Ιουλ-22]]))/SUMPRODUCT(U$2:U$49,(1+'Monthly Returns'!U$2:U$49))</f>
        <v>1.8019124241053709E-2</v>
      </c>
      <c r="W13" s="107" cm="1">
        <f t="array" ref="W13">(V13*(1+Table6[[#This Row],[Αυγ-22]]))/SUMPRODUCT(V$2:V$49,(1+'Monthly Returns'!V$2:V$49))</f>
        <v>1.8859378419851355E-2</v>
      </c>
      <c r="X13" s="107" cm="1">
        <f t="array" ref="X13">(W13*(1+Table6[[#This Row],[Σεπ-22]]))/SUMPRODUCT(W$2:W$49,(1+'Monthly Returns'!W$2:W$49))</f>
        <v>1.8879924607074654E-2</v>
      </c>
      <c r="Y13" s="107" cm="1">
        <f t="array" ref="Y13">(X13*(1+Table6[[#This Row],[Οκτ-22]]))/SUMPRODUCT(X$2:X$49,(1+'Monthly Returns'!X$2:X$49))</f>
        <v>1.8774309912630044E-2</v>
      </c>
      <c r="Z13" s="107" cm="1">
        <f t="array" ref="Z13">(Y13*(1+Table6[[#This Row],[Νοε-22]]))/SUMPRODUCT(Y$2:Y$49,(1+'Monthly Returns'!Y$2:Y$49))</f>
        <v>1.9047646425635622E-2</v>
      </c>
      <c r="AA13" s="109">
        <v>1.9377236852842771E-2</v>
      </c>
      <c r="AB13" s="107" cm="1">
        <f t="array" ref="AB13">(AA13*(1+Table6[[#This Row],[Ιαν-23]]))/SUMPRODUCT(AA$2:AA$49,(1+'Monthly Returns'!AA$2:AA$49))</f>
        <v>1.9886452813049318E-2</v>
      </c>
      <c r="AC13" s="107" cm="1">
        <f t="array" ref="AC13">(AB13*(1+Table6[[#This Row],[Φεβ-23]]))/SUMPRODUCT(AB$2:AB$49,(1+'Monthly Returns'!AB$2:AB$49))</f>
        <v>2.0612282845131322E-2</v>
      </c>
      <c r="AD13" s="107" cm="1">
        <f t="array" ref="AD13">(AC13*(1+Table6[[#This Row],[Μαρ-23]]))/SUMPRODUCT(AC$2:AC$49,(1+'Monthly Returns'!AC$2:AC$49))</f>
        <v>1.9379452055763392E-2</v>
      </c>
      <c r="AE13" s="107" cm="1">
        <f t="array" ref="AE13">(AD13*(1+Table6[[#This Row],[Απρ-23]]))/SUMPRODUCT(AD$2:AD$49,(1+'Monthly Returns'!AD$2:AD$49))</f>
        <v>1.830175564966055E-2</v>
      </c>
      <c r="AF13" s="109">
        <v>1.9377236852842771E-2</v>
      </c>
      <c r="AG13" s="107" cm="1">
        <f t="array" ref="AG13">(AF13*(1+Table6[[#This Row],[Ιουν-23]]))/SUMPRODUCT(AF$2:AF$49,(1+'Monthly Returns'!AF$2:AF$49))</f>
        <v>1.9630634045481918E-2</v>
      </c>
      <c r="AH13" s="107" cm="1">
        <f t="array" ref="AH13">(AG13*(1+Table6[[#This Row],[Ιουλ-23]]))/SUMPRODUCT(AG$2:AG$49,(1+'Monthly Returns'!AG$2:AG$49))</f>
        <v>2.0909134284453592E-2</v>
      </c>
      <c r="AI13" s="107" cm="1">
        <f t="array" ref="AI13">(AH13*(1+Table6[[#This Row],[Αυγ-23]]))/SUMPRODUCT(AH$2:AH$49,(1+'Monthly Returns'!AH$2:AH$49))</f>
        <v>2.5988083211657506E-2</v>
      </c>
      <c r="AJ13" s="107" cm="1">
        <f t="array" ref="AJ13">(AI13*(1+Table6[[#This Row],[Σεπ-23]]))/SUMPRODUCT(AI$2:AI$49,(1+'Monthly Returns'!AI$2:AI$49))</f>
        <v>2.5195174482032689E-2</v>
      </c>
      <c r="AK13" s="107" cm="1">
        <f t="array" ref="AK13">(AJ13*(1+Table6[[#This Row],[Οκτ-23]]))/SUMPRODUCT(AJ$2:AJ$49,(1+'Monthly Returns'!AJ$2:AJ$49))</f>
        <v>2.4657490723469115E-2</v>
      </c>
      <c r="AL13" s="107" cm="1">
        <f t="array" ref="AL13">(AK13*(1+Table6[[#This Row],[Νοε-23]]))/SUMPRODUCT(AK$2:AK$49,(1+'Monthly Returns'!AK$2:AK$49))</f>
        <v>2.6561360008169835E-2</v>
      </c>
      <c r="AM13" s="109">
        <v>1.9377236852842771E-2</v>
      </c>
      <c r="AN13" s="107" cm="1">
        <f t="array" ref="AN13">(AM13*(1+Table6[[#This Row],[Ιαν-24]]))/SUMPRODUCT(AM$2:AM$49,(1+'Monthly Returns'!AM$2:AM$49))</f>
        <v>1.8882287677951311E-2</v>
      </c>
      <c r="AO13" s="107" cm="1">
        <f t="array" ref="AO13">(AN13*(1+Table6[[#This Row],[Φεβ-24]]))/SUMPRODUCT(AN$2:AN$49,(1+'Monthly Returns'!AN$2:AN$49))</f>
        <v>1.7298311046894038E-2</v>
      </c>
      <c r="AP13" s="107" cm="1">
        <f t="array" ref="AP13">(AO13*(1+Table6[[#This Row],[Μαρ-24]]))/SUMPRODUCT(AO$2:AO$49,(1+'Monthly Returns'!AO$2:AO$49))</f>
        <v>1.7697754969738889E-2</v>
      </c>
      <c r="AQ13" s="107" cm="1">
        <f t="array" ref="AQ13">(AP13*(1+Table6[[#This Row],[Απρ-24]]))/SUMPRODUCT(AP$2:AP$49,(1+'Monthly Returns'!AP$2:AP$49))</f>
        <v>1.5806933276250153E-2</v>
      </c>
      <c r="AR13" s="109">
        <v>1.9377236852842771E-2</v>
      </c>
      <c r="AS13" s="107" cm="1">
        <f t="array" ref="AS13">(AR13*(1+Table6[[#This Row],[Ιουν-24]]))/SUMPRODUCT(AR$2:AR$49,(1+'Monthly Returns'!AR$2:AR$49))</f>
        <v>1.8522715467007751E-2</v>
      </c>
      <c r="AT13" s="107" cm="1">
        <f t="array" ref="AT13">(AS13*(1+Table6[[#This Row],[Ιουλ-24]]))/SUMPRODUCT(AS$2:AS$49,(1+'Monthly Returns'!AS$2:AS$49))</f>
        <v>1.8373153560756E-2</v>
      </c>
      <c r="AU13" s="107" cm="1">
        <f t="array" ref="AU13">(AT13*(1+Table6[[#This Row],[Αυγ-24]]))/SUMPRODUCT(AT$2:AT$49,(1+'Monthly Returns'!AT$2:AT$49))</f>
        <v>1.7639408422028463E-2</v>
      </c>
      <c r="AV13" s="107" cm="1">
        <f t="array" ref="AV13">(AU13*(1+Table6[[#This Row],[Σεπ-24]]))/SUMPRODUCT(AU$2:AU$49,(1+'Monthly Returns'!AU$2:AU$49))</f>
        <v>1.7678378144992866E-2</v>
      </c>
      <c r="AW13" s="107" cm="1">
        <f t="array" ref="AW13">(AV13*(1+Table6[[#This Row],[Οκτ-24]]))/SUMPRODUCT(AV$2:AV$49,(1+'Monthly Returns'!AV$2:AV$49))</f>
        <v>1.8444760846294567E-2</v>
      </c>
      <c r="AX13" s="107" cm="1">
        <f t="array" ref="AX13">(AW13*(1+Table6[[#This Row],[Νοε-24]]))/SUMPRODUCT(AW$2:AW$49,(1+'Monthly Returns'!AW$2:AW$49))</f>
        <v>1.9622182477346536E-2</v>
      </c>
      <c r="AY13" s="109">
        <v>1.9377236852842771E-2</v>
      </c>
      <c r="AZ13" s="107" cm="1">
        <f t="array" ref="AZ13">(AY13*(1+Table6[[#This Row],[Ιαν-25]]))/SUMPRODUCT(AY$2:AY$49,(1+'Monthly Returns'!AY$2:AY$49))</f>
        <v>2.0877274369244588E-2</v>
      </c>
      <c r="BA13" s="107" cm="1">
        <f t="array" ref="BA13">(AZ13*(1+Table6[[#This Row],[Φεβ-25]]))/SUMPRODUCT(AZ$2:AZ$49,(1+'Monthly Returns'!AZ$2:AZ$49))</f>
        <v>1.9166532280177492E-2</v>
      </c>
      <c r="BB13" s="107" cm="1">
        <f t="array" ref="BB13">(BA13*(1+Table6[[#This Row],[Μαρ-25]]))/SUMPRODUCT(BA$2:BA$49,(1+'Monthly Returns'!BA$2:BA$49))</f>
        <v>1.6719377794150402E-2</v>
      </c>
      <c r="BC13" s="107" cm="1">
        <f t="array" ref="BC13">(BB13*(1+Table6[[#This Row],[Απρ-25]]))/SUMPRODUCT(BB$2:BB$49,(1+'Monthly Returns'!BB$2:BB$49))</f>
        <v>1.6242582170194274E-2</v>
      </c>
      <c r="BD13" s="109">
        <v>1.9377236852842771E-2</v>
      </c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</row>
    <row r="14" spans="1:92">
      <c r="A14" s="110" t="s">
        <v>131</v>
      </c>
      <c r="B14" s="110" t="s">
        <v>132</v>
      </c>
      <c r="C14" s="109">
        <v>1.4962170228144417E-2</v>
      </c>
      <c r="D14" s="107" cm="1">
        <f t="array" ref="D14">(Table684[[#This Row],[Ιαν-21]]*(1+Table6[[#This Row],[Ιαν-21]]))/SUMPRODUCT(C$2:C$49,(1+'Monthly Returns'!C$2:C$49))</f>
        <v>1.4761514408124626E-2</v>
      </c>
      <c r="E14" s="107" cm="1">
        <f t="array" ref="E14">(Table684[[#This Row],[Φεβ-21]]*(1+Table6[[#This Row],[Φεβ-21]]))/SUMPRODUCT(D$2:D$49,(1+'Monthly Returns'!D$2:D$49))</f>
        <v>1.6049958643962296E-2</v>
      </c>
      <c r="F14" s="107" cm="1">
        <f t="array" ref="F14">(Table684[[#This Row],[Μαρ-21]]*(1+Table6[[#This Row],[Μαρ-21]]))/SUMPRODUCT(E$2:E$49,(1+'Monthly Returns'!E$2:E$49))</f>
        <v>1.1034639345912613E-2</v>
      </c>
      <c r="G14" s="107" cm="1">
        <f t="array" ref="G14">(Table684[[#This Row],[Απρ-21]]*(1+Table6[[#This Row],[Απρ-21]]))/SUMPRODUCT(F$2:F$49,(1+'Monthly Returns'!F$2:F$49))</f>
        <v>1.1405003435277393E-2</v>
      </c>
      <c r="H14" s="109">
        <v>1.4962170228144417E-2</v>
      </c>
      <c r="I14" s="107" cm="1">
        <f t="array" ref="I14">(Table684[[#This Row],[Ιουν-21]]*(1+Table6[[#This Row],[Ιουν-21]]))/SUMPRODUCT(H$2:H$49,(1+'Monthly Returns'!H$2:H$49))</f>
        <v>1.5515698401120916E-2</v>
      </c>
      <c r="J14" s="107" cm="1">
        <f t="array" ref="J14">(Table684[[#This Row],[Ιουλ-21]]*(1+Table6[[#This Row],[Ιουλ-21]]))/SUMPRODUCT(I$2:I$49,(1+'Monthly Returns'!I$2:I$49))</f>
        <v>1.4484646671616329E-2</v>
      </c>
      <c r="K14" s="107" cm="1">
        <f t="array" ref="K14">(Table684[[#This Row],[Αυγ-21]]*(1+Table6[[#This Row],[Αυγ-21]]))/SUMPRODUCT(J$2:J$49,(1+'Monthly Returns'!J$2:J$49))</f>
        <v>1.4944340976221116E-2</v>
      </c>
      <c r="L14" s="107" cm="1">
        <f t="array" ref="L14">(Table684[[#This Row],[Σεπ-21]]*(1+Table6[[#This Row],[Σεπ-21]]))/SUMPRODUCT(K$2:K$49,(1+'Monthly Returns'!K$2:K$49))</f>
        <v>1.4306725477578577E-2</v>
      </c>
      <c r="M14" s="107" cm="1">
        <f t="array" ref="M14">(Table684[[#This Row],[Οκτ-21]]*(1+Table6[[#This Row],[Οκτ-21]]))/SUMPRODUCT(L$2:L$49,(1+'Monthly Returns'!L$2:L$49))</f>
        <v>1.3286707767370112E-2</v>
      </c>
      <c r="N14" s="107" cm="1">
        <f t="array" ref="N14">(Table684[[#This Row],[Νοε-21]]*(1+Table6[[#This Row],[Νοε-21]]))/SUMPRODUCT(M$2:M$49,(1+'Monthly Returns'!M$2:M$49))</f>
        <v>1.2531377180395681E-2</v>
      </c>
      <c r="O14" s="109">
        <v>1.4962170228144417E-2</v>
      </c>
      <c r="P14" s="107" cm="1">
        <f t="array" ref="P14">(O14*(1+Table6[[#This Row],[Ιαν-22]]))/SUMPRODUCT(O$2:O$49,(1+'Monthly Returns'!O$2:O$49))</f>
        <v>1.5841026216434403E-2</v>
      </c>
      <c r="Q14" s="107" cm="1">
        <f t="array" ref="Q14">(P14*(1+Table6[[#This Row],[Φεβ-22]]))/SUMPRODUCT(P$2:P$49,(1+'Monthly Returns'!P$2:P$49))</f>
        <v>1.4923500587778098E-2</v>
      </c>
      <c r="R14" s="107" cm="1">
        <f t="array" ref="R14">(Q14*(1+Table6[[#This Row],[Μαρ-22]]))/SUMPRODUCT(Q$2:Q$49,(1+'Monthly Returns'!Q$2:Q$49))</f>
        <v>1.7670330953477326E-2</v>
      </c>
      <c r="S14" s="107" cm="1">
        <f t="array" ref="S14">(R14*(1+Table6[[#This Row],[Απρ-22]]))/SUMPRODUCT(R$2:R$49,(1+'Monthly Returns'!R$2:R$49))</f>
        <v>1.7664050437289833E-2</v>
      </c>
      <c r="T14" s="109">
        <v>1.4962170228144417E-2</v>
      </c>
      <c r="U14" s="107" cm="1">
        <f t="array" ref="U14">(T14*(1+Table6[[#This Row],[Ιουν-22]]))/SUMPRODUCT(T$2:T$49,(1+'Monthly Returns'!T$2:T$49))</f>
        <v>1.6548441333400183E-2</v>
      </c>
      <c r="V14" s="107" cm="1">
        <f t="array" ref="V14">(U14*(1+Table6[[#This Row],[Ιουλ-22]]))/SUMPRODUCT(U$2:U$49,(1+'Monthly Returns'!U$2:U$49))</f>
        <v>1.6783960423679016E-2</v>
      </c>
      <c r="W14" s="107" cm="1">
        <f t="array" ref="W14">(V14*(1+Table6[[#This Row],[Αυγ-22]]))/SUMPRODUCT(V$2:V$49,(1+'Monthly Returns'!V$2:V$49))</f>
        <v>1.7425122271416675E-2</v>
      </c>
      <c r="X14" s="107" cm="1">
        <f t="array" ref="X14">(W14*(1+Table6[[#This Row],[Σεπ-22]]))/SUMPRODUCT(W$2:W$49,(1+'Monthly Returns'!W$2:W$49))</f>
        <v>1.7019402245721564E-2</v>
      </c>
      <c r="Y14" s="107" cm="1">
        <f t="array" ref="Y14">(X14*(1+Table6[[#This Row],[Οκτ-22]]))/SUMPRODUCT(X$2:X$49,(1+'Monthly Returns'!X$2:X$49))</f>
        <v>1.6032280910454066E-2</v>
      </c>
      <c r="Z14" s="107" cm="1">
        <f t="array" ref="Z14">(Y14*(1+Table6[[#This Row],[Νοε-22]]))/SUMPRODUCT(Y$2:Y$49,(1+'Monthly Returns'!Y$2:Y$49))</f>
        <v>1.6191301150685872E-2</v>
      </c>
      <c r="AA14" s="109">
        <v>1.4962170228144417E-2</v>
      </c>
      <c r="AB14" s="107" cm="1">
        <f t="array" ref="AB14">(AA14*(1+Table6[[#This Row],[Ιαν-23]]))/SUMPRODUCT(AA$2:AA$49,(1+'Monthly Returns'!AA$2:AA$49))</f>
        <v>1.4301670532655323E-2</v>
      </c>
      <c r="AC14" s="107" cm="1">
        <f t="array" ref="AC14">(AB14*(1+Table6[[#This Row],[Φεβ-23]]))/SUMPRODUCT(AB$2:AB$49,(1+'Monthly Returns'!AB$2:AB$49))</f>
        <v>1.4181477744523734E-2</v>
      </c>
      <c r="AD14" s="107" cm="1">
        <f t="array" ref="AD14">(AC14*(1+Table6[[#This Row],[Μαρ-23]]))/SUMPRODUCT(AC$2:AC$49,(1+'Monthly Returns'!AC$2:AC$49))</f>
        <v>1.4888189986294932E-2</v>
      </c>
      <c r="AE14" s="107" cm="1">
        <f t="array" ref="AE14">(AD14*(1+Table6[[#This Row],[Απρ-23]]))/SUMPRODUCT(AD$2:AD$49,(1+'Monthly Returns'!AD$2:AD$49))</f>
        <v>1.556841708094805E-2</v>
      </c>
      <c r="AF14" s="109">
        <v>1.4962170228144417E-2</v>
      </c>
      <c r="AG14" s="107" cm="1">
        <f t="array" ref="AG14">(AF14*(1+Table6[[#This Row],[Ιουν-23]]))/SUMPRODUCT(AF$2:AF$49,(1+'Monthly Returns'!AF$2:AF$49))</f>
        <v>1.4194784751493736E-2</v>
      </c>
      <c r="AH14" s="107" cm="1">
        <f t="array" ref="AH14">(AG14*(1+Table6[[#This Row],[Ιουλ-23]]))/SUMPRODUCT(AG$2:AG$49,(1+'Monthly Returns'!AG$2:AG$49))</f>
        <v>1.410824989988756E-2</v>
      </c>
      <c r="AI14" s="107" cm="1">
        <f t="array" ref="AI14">(AH14*(1+Table6[[#This Row],[Αυγ-23]]))/SUMPRODUCT(AH$2:AH$49,(1+'Monthly Returns'!AH$2:AH$49))</f>
        <v>1.3961450293985739E-2</v>
      </c>
      <c r="AJ14" s="107" cm="1">
        <f t="array" ref="AJ14">(AI14*(1+Table6[[#This Row],[Σεπ-23]]))/SUMPRODUCT(AI$2:AI$49,(1+'Monthly Returns'!AI$2:AI$49))</f>
        <v>1.4092373003298389E-2</v>
      </c>
      <c r="AK14" s="107" cm="1">
        <f t="array" ref="AK14">(AJ14*(1+Table6[[#This Row],[Οκτ-23]]))/SUMPRODUCT(AJ$2:AJ$49,(1+'Monthly Returns'!AJ$2:AJ$49))</f>
        <v>1.4680278658947844E-2</v>
      </c>
      <c r="AL14" s="107" cm="1">
        <f t="array" ref="AL14">(AK14*(1+Table6[[#This Row],[Νοε-23]]))/SUMPRODUCT(AK$2:AK$49,(1+'Monthly Returns'!AK$2:AK$49))</f>
        <v>1.4643739650657626E-2</v>
      </c>
      <c r="AM14" s="109">
        <v>1.4962170228144417E-2</v>
      </c>
      <c r="AN14" s="107" cm="1">
        <f t="array" ref="AN14">(AM14*(1+Table6[[#This Row],[Ιαν-24]]))/SUMPRODUCT(AM$2:AM$49,(1+'Monthly Returns'!AM$2:AM$49))</f>
        <v>1.4412306697396049E-2</v>
      </c>
      <c r="AO14" s="107" cm="1">
        <f t="array" ref="AO14">(AN14*(1+Table6[[#This Row],[Φεβ-24]]))/SUMPRODUCT(AN$2:AN$49,(1+'Monthly Returns'!AN$2:AN$49))</f>
        <v>1.3782810630245978E-2</v>
      </c>
      <c r="AP14" s="107" cm="1">
        <f t="array" ref="AP14">(AO14*(1+Table6[[#This Row],[Μαρ-24]]))/SUMPRODUCT(AO$2:AO$49,(1+'Monthly Returns'!AO$2:AO$49))</f>
        <v>1.3979594203396147E-2</v>
      </c>
      <c r="AQ14" s="107" cm="1">
        <f t="array" ref="AQ14">(AP14*(1+Table6[[#This Row],[Απρ-24]]))/SUMPRODUCT(AP$2:AP$49,(1+'Monthly Returns'!AP$2:AP$49))</f>
        <v>1.3193541873416814E-2</v>
      </c>
      <c r="AR14" s="109">
        <v>1.4962170228144417E-2</v>
      </c>
      <c r="AS14" s="107" cm="1">
        <f t="array" ref="AS14">(AR14*(1+Table6[[#This Row],[Ιουν-24]]))/SUMPRODUCT(AR$2:AR$49,(1+'Monthly Returns'!AR$2:AR$49))</f>
        <v>1.5611783943673444E-2</v>
      </c>
      <c r="AT14" s="107" cm="1">
        <f t="array" ref="AT14">(AS14*(1+Table6[[#This Row],[Ιουλ-24]]))/SUMPRODUCT(AS$2:AS$49,(1+'Monthly Returns'!AS$2:AS$49))</f>
        <v>1.5402200359439514E-2</v>
      </c>
      <c r="AU14" s="107" cm="1">
        <f t="array" ref="AU14">(AT14*(1+Table6[[#This Row],[Αυγ-24]]))/SUMPRODUCT(AT$2:AT$49,(1+'Monthly Returns'!AT$2:AT$49))</f>
        <v>1.6292654634803339E-2</v>
      </c>
      <c r="AV14" s="107" cm="1">
        <f t="array" ref="AV14">(AU14*(1+Table6[[#This Row],[Σεπ-24]]))/SUMPRODUCT(AU$2:AU$49,(1+'Monthly Returns'!AU$2:AU$49))</f>
        <v>1.6450857283269879E-2</v>
      </c>
      <c r="AW14" s="107" cm="1">
        <f t="array" ref="AW14">(AV14*(1+Table6[[#This Row],[Οκτ-24]]))/SUMPRODUCT(AV$2:AV$49,(1+'Monthly Returns'!AV$2:AV$49))</f>
        <v>1.7049609601129653E-2</v>
      </c>
      <c r="AX14" s="107" cm="1">
        <f t="array" ref="AX14">(AW14*(1+Table6[[#This Row],[Νοε-24]]))/SUMPRODUCT(AW$2:AW$49,(1+'Monthly Returns'!AW$2:AW$49))</f>
        <v>1.8251836395479535E-2</v>
      </c>
      <c r="AY14" s="109">
        <v>1.4962170228144417E-2</v>
      </c>
      <c r="AZ14" s="107" cm="1">
        <f t="array" ref="AZ14">(AY14*(1+Table6[[#This Row],[Ιαν-25]]))/SUMPRODUCT(AY$2:AY$49,(1+'Monthly Returns'!AY$2:AY$49))</f>
        <v>1.4648235578563261E-2</v>
      </c>
      <c r="BA14" s="107" cm="1">
        <f t="array" ref="BA14">(AZ14*(1+Table6[[#This Row],[Φεβ-25]]))/SUMPRODUCT(AZ$2:AZ$49,(1+'Monthly Returns'!AZ$2:AZ$49))</f>
        <v>1.3909619468634098E-2</v>
      </c>
      <c r="BB14" s="107" cm="1">
        <f t="array" ref="BB14">(BA14*(1+Table6[[#This Row],[Μαρ-25]]))/SUMPRODUCT(BA$2:BA$49,(1+'Monthly Returns'!BA$2:BA$49))</f>
        <v>1.3572281868029142E-2</v>
      </c>
      <c r="BC14" s="107" cm="1">
        <f t="array" ref="BC14">(BB14*(1+Table6[[#This Row],[Απρ-25]]))/SUMPRODUCT(BB$2:BB$49,(1+'Monthly Returns'!BB$2:BB$49))</f>
        <v>1.35583371529786E-2</v>
      </c>
      <c r="BD14" s="109">
        <v>1.4962170228144417E-2</v>
      </c>
      <c r="BE14" s="106"/>
      <c r="BF14" s="106"/>
      <c r="BG14" s="106"/>
      <c r="BH14" s="106"/>
      <c r="BI14" s="106"/>
      <c r="BJ14" s="106"/>
      <c r="BK14" s="106"/>
      <c r="BL14" s="106"/>
      <c r="BM14" s="106"/>
      <c r="BN14" s="106"/>
      <c r="BO14" s="106"/>
      <c r="BP14" s="106"/>
      <c r="BQ14" s="106"/>
      <c r="BR14" s="106"/>
      <c r="BS14" s="106"/>
      <c r="BT14" s="106"/>
      <c r="BU14" s="106"/>
      <c r="BV14" s="106"/>
      <c r="BW14" s="106"/>
      <c r="BX14" s="106"/>
      <c r="BY14" s="106"/>
      <c r="BZ14" s="106"/>
      <c r="CA14" s="106"/>
      <c r="CB14" s="106"/>
      <c r="CC14" s="106"/>
      <c r="CD14" s="106"/>
      <c r="CE14" s="106"/>
      <c r="CF14" s="106"/>
      <c r="CG14" s="106"/>
      <c r="CH14" s="106"/>
      <c r="CI14" s="106"/>
      <c r="CJ14" s="106"/>
      <c r="CK14" s="106"/>
      <c r="CL14" s="106"/>
      <c r="CM14" s="106"/>
      <c r="CN14" s="106"/>
    </row>
    <row r="15" spans="1:92">
      <c r="A15" s="110" t="s">
        <v>137</v>
      </c>
      <c r="B15" s="110" t="s">
        <v>138</v>
      </c>
      <c r="C15" s="109">
        <v>1.1773510999195606E-2</v>
      </c>
      <c r="D15" s="107" cm="1">
        <f t="array" ref="D15">(Table684[[#This Row],[Ιαν-21]]*(1+Table6[[#This Row],[Ιαν-21]]))/SUMPRODUCT(C$2:C$49,(1+'Monthly Returns'!C$2:C$49))</f>
        <v>1.1350111253818244E-2</v>
      </c>
      <c r="E15" s="107" cm="1">
        <f t="array" ref="E15">(Table684[[#This Row],[Φεβ-21]]*(1+Table6[[#This Row],[Φεβ-21]]))/SUMPRODUCT(D$2:D$49,(1+'Monthly Returns'!D$2:D$49))</f>
        <v>1.1120348299098042E-2</v>
      </c>
      <c r="F15" s="107" cm="1">
        <f t="array" ref="F15">(Table684[[#This Row],[Μαρ-21]]*(1+Table6[[#This Row],[Μαρ-21]]))/SUMPRODUCT(E$2:E$49,(1+'Monthly Returns'!E$2:E$49))</f>
        <v>1.0884418686291633E-2</v>
      </c>
      <c r="G15" s="107" cm="1">
        <f t="array" ref="G15">(Table684[[#This Row],[Απρ-21]]*(1+Table6[[#This Row],[Απρ-21]]))/SUMPRODUCT(F$2:F$49,(1+'Monthly Returns'!F$2:F$49))</f>
        <v>1.0795984135433916E-2</v>
      </c>
      <c r="H15" s="109">
        <v>1.1773510999195606E-2</v>
      </c>
      <c r="I15" s="107" cm="1">
        <f t="array" ref="I15">(Table684[[#This Row],[Ιουν-21]]*(1+Table6[[#This Row],[Ιουν-21]]))/SUMPRODUCT(H$2:H$49,(1+'Monthly Returns'!H$2:H$49))</f>
        <v>1.2744641210008406E-2</v>
      </c>
      <c r="J15" s="107" cm="1">
        <f t="array" ref="J15">(Table684[[#This Row],[Ιουλ-21]]*(1+Table6[[#This Row],[Ιουλ-21]]))/SUMPRODUCT(I$2:I$49,(1+'Monthly Returns'!I$2:I$49))</f>
        <v>1.2046186535754202E-2</v>
      </c>
      <c r="K15" s="107" cm="1">
        <f t="array" ref="K15">(Table684[[#This Row],[Αυγ-21]]*(1+Table6[[#This Row],[Αυγ-21]]))/SUMPRODUCT(J$2:J$49,(1+'Monthly Returns'!J$2:J$49))</f>
        <v>1.2170274459208786E-2</v>
      </c>
      <c r="L15" s="107" cm="1">
        <f t="array" ref="L15">(Table684[[#This Row],[Σεπ-21]]*(1+Table6[[#This Row],[Σεπ-21]]))/SUMPRODUCT(K$2:K$49,(1+'Monthly Returns'!K$2:K$49))</f>
        <v>1.1974898917716748E-2</v>
      </c>
      <c r="M15" s="107" cm="1">
        <f t="array" ref="M15">(Table684[[#This Row],[Οκτ-21]]*(1+Table6[[#This Row],[Οκτ-21]]))/SUMPRODUCT(L$2:L$49,(1+'Monthly Returns'!L$2:L$49))</f>
        <v>1.1730634645592059E-2</v>
      </c>
      <c r="N15" s="107" cm="1">
        <f t="array" ref="N15">(Table684[[#This Row],[Νοε-21]]*(1+Table6[[#This Row],[Νοε-21]]))/SUMPRODUCT(M$2:M$49,(1+'Monthly Returns'!M$2:M$49))</f>
        <v>1.179988401349636E-2</v>
      </c>
      <c r="O15" s="109">
        <v>1.1773510999195606E-2</v>
      </c>
      <c r="P15" s="107" cm="1">
        <f t="array" ref="P15">(O15*(1+Table6[[#This Row],[Ιαν-22]]))/SUMPRODUCT(O$2:O$49,(1+'Monthly Returns'!O$2:O$49))</f>
        <v>1.2742942186090267E-2</v>
      </c>
      <c r="Q15" s="107" cm="1">
        <f t="array" ref="Q15">(P15*(1+Table6[[#This Row],[Φεβ-22]]))/SUMPRODUCT(P$2:P$49,(1+'Monthly Returns'!P$2:P$49))</f>
        <v>1.265366442556054E-2</v>
      </c>
      <c r="R15" s="107" cm="1">
        <f t="array" ref="R15">(Q15*(1+Table6[[#This Row],[Μαρ-22]]))/SUMPRODUCT(Q$2:Q$49,(1+'Monthly Returns'!Q$2:Q$49))</f>
        <v>1.3440937803667386E-2</v>
      </c>
      <c r="S15" s="107" cm="1">
        <f t="array" ref="S15">(R15*(1+Table6[[#This Row],[Απρ-22]]))/SUMPRODUCT(R$2:R$49,(1+'Monthly Returns'!R$2:R$49))</f>
        <v>1.3354866560146285E-2</v>
      </c>
      <c r="T15" s="109">
        <v>1.1773510999195606E-2</v>
      </c>
      <c r="U15" s="107" cm="1">
        <f t="array" ref="U15">(T15*(1+Table6[[#This Row],[Ιουν-22]]))/SUMPRODUCT(T$2:T$49,(1+'Monthly Returns'!T$2:T$49))</f>
        <v>1.3014053209024299E-2</v>
      </c>
      <c r="V15" s="107" cm="1">
        <f t="array" ref="V15">(U15*(1+Table6[[#This Row],[Ιουλ-22]]))/SUMPRODUCT(U$2:U$49,(1+'Monthly Returns'!U$2:U$49))</f>
        <v>1.3102415396223885E-2</v>
      </c>
      <c r="W15" s="107" cm="1">
        <f t="array" ref="W15">(V15*(1+Table6[[#This Row],[Αυγ-22]]))/SUMPRODUCT(V$2:V$49,(1+'Monthly Returns'!V$2:V$49))</f>
        <v>1.3629172875353764E-2</v>
      </c>
      <c r="X15" s="107" cm="1">
        <f t="array" ref="X15">(W15*(1+Table6[[#This Row],[Σεπ-22]]))/SUMPRODUCT(W$2:W$49,(1+'Monthly Returns'!W$2:W$49))</f>
        <v>1.4273877850329976E-2</v>
      </c>
      <c r="Y15" s="107" cm="1">
        <f t="array" ref="Y15">(X15*(1+Table6[[#This Row],[Οκτ-22]]))/SUMPRODUCT(X$2:X$49,(1+'Monthly Returns'!X$2:X$49))</f>
        <v>1.3087259230486153E-2</v>
      </c>
      <c r="Z15" s="107" cm="1">
        <f t="array" ref="Z15">(Y15*(1+Table6[[#This Row],[Νοε-22]]))/SUMPRODUCT(Y$2:Y$49,(1+'Monthly Returns'!Y$2:Y$49))</f>
        <v>1.3025164756823649E-2</v>
      </c>
      <c r="AA15" s="109">
        <v>1.1773510999195606E-2</v>
      </c>
      <c r="AB15" s="107" cm="1">
        <f t="array" ref="AB15">(AA15*(1+Table6[[#This Row],[Ιαν-23]]))/SUMPRODUCT(AA$2:AA$49,(1+'Monthly Returns'!AA$2:AA$49))</f>
        <v>1.0983872979069883E-2</v>
      </c>
      <c r="AC15" s="107" cm="1">
        <f t="array" ref="AC15">(AB15*(1+Table6[[#This Row],[Φεβ-23]]))/SUMPRODUCT(AB$2:AB$49,(1+'Monthly Returns'!AB$2:AB$49))</f>
        <v>1.0821413537343207E-2</v>
      </c>
      <c r="AD15" s="107" cm="1">
        <f t="array" ref="AD15">(AC15*(1+Table6[[#This Row],[Μαρ-23]]))/SUMPRODUCT(AC$2:AC$49,(1+'Monthly Returns'!AC$2:AC$49))</f>
        <v>1.1729241529786095E-2</v>
      </c>
      <c r="AE15" s="107" cm="1">
        <f t="array" ref="AE15">(AD15*(1+Table6[[#This Row],[Απρ-23]]))/SUMPRODUCT(AD$2:AD$49,(1+'Monthly Returns'!AD$2:AD$49))</f>
        <v>1.1031320619887847E-2</v>
      </c>
      <c r="AF15" s="109">
        <v>1.1773510999195606E-2</v>
      </c>
      <c r="AG15" s="107" cm="1">
        <f t="array" ref="AG15">(AF15*(1+Table6[[#This Row],[Ιουν-23]]))/SUMPRODUCT(AF$2:AF$49,(1+'Monthly Returns'!AF$2:AF$49))</f>
        <v>1.1943451712241787E-2</v>
      </c>
      <c r="AH15" s="107" cm="1">
        <f t="array" ref="AH15">(AG15*(1+Table6[[#This Row],[Ιουλ-23]]))/SUMPRODUCT(AG$2:AG$49,(1+'Monthly Returns'!AG$2:AG$49))</f>
        <v>1.2054346877605466E-2</v>
      </c>
      <c r="AI15" s="107" cm="1">
        <f t="array" ref="AI15">(AH15*(1+Table6[[#This Row],[Αυγ-23]]))/SUMPRODUCT(AH$2:AH$49,(1+'Monthly Returns'!AH$2:AH$49))</f>
        <v>1.1575032271124136E-2</v>
      </c>
      <c r="AJ15" s="107" cm="1">
        <f t="array" ref="AJ15">(AI15*(1+Table6[[#This Row],[Σεπ-23]]))/SUMPRODUCT(AI$2:AI$49,(1+'Monthly Returns'!AI$2:AI$49))</f>
        <v>1.1690625395521832E-2</v>
      </c>
      <c r="AK15" s="107" cm="1">
        <f t="array" ref="AK15">(AJ15*(1+Table6[[#This Row],[Οκτ-23]]))/SUMPRODUCT(AJ$2:AJ$49,(1+'Monthly Returns'!AJ$2:AJ$49))</f>
        <v>1.1561571795980661E-2</v>
      </c>
      <c r="AL15" s="107" cm="1">
        <f t="array" ref="AL15">(AK15*(1+Table6[[#This Row],[Νοε-23]]))/SUMPRODUCT(AK$2:AK$49,(1+'Monthly Returns'!AK$2:AK$49))</f>
        <v>1.1934545881679814E-2</v>
      </c>
      <c r="AM15" s="109">
        <v>1.1773510999195606E-2</v>
      </c>
      <c r="AN15" s="107" cm="1">
        <f t="array" ref="AN15">(AM15*(1+Table6[[#This Row],[Ιαν-24]]))/SUMPRODUCT(AM$2:AM$49,(1+'Monthly Returns'!AM$2:AM$49))</f>
        <v>1.1413751726623829E-2</v>
      </c>
      <c r="AO15" s="107" cm="1">
        <f t="array" ref="AO15">(AN15*(1+Table6[[#This Row],[Φεβ-24]]))/SUMPRODUCT(AN$2:AN$49,(1+'Monthly Returns'!AN$2:AN$49))</f>
        <v>1.161356171482773E-2</v>
      </c>
      <c r="AP15" s="107" cm="1">
        <f t="array" ref="AP15">(AO15*(1+Table6[[#This Row],[Μαρ-24]]))/SUMPRODUCT(AO$2:AO$49,(1+'Monthly Returns'!AO$2:AO$49))</f>
        <v>1.0764555868072656E-2</v>
      </c>
      <c r="AQ15" s="107" cm="1">
        <f t="array" ref="AQ15">(AP15*(1+Table6[[#This Row],[Απρ-24]]))/SUMPRODUCT(AP$2:AP$49,(1+'Monthly Returns'!AP$2:AP$49))</f>
        <v>1.0293054594655912E-2</v>
      </c>
      <c r="AR15" s="109">
        <v>1.1773510999195606E-2</v>
      </c>
      <c r="AS15" s="107" cm="1">
        <f t="array" ref="AS15">(AR15*(1+Table6[[#This Row],[Ιουν-24]]))/SUMPRODUCT(AR$2:AR$49,(1+'Monthly Returns'!AR$2:AR$49))</f>
        <v>1.2360918234995409E-2</v>
      </c>
      <c r="AT15" s="107" cm="1">
        <f t="array" ref="AT15">(AS15*(1+Table6[[#This Row],[Ιουλ-24]]))/SUMPRODUCT(AS$2:AS$49,(1+'Monthly Returns'!AS$2:AS$49))</f>
        <v>1.1950884642911511E-2</v>
      </c>
      <c r="AU15" s="107" cm="1">
        <f t="array" ref="AU15">(AT15*(1+Table6[[#This Row],[Αυγ-24]]))/SUMPRODUCT(AT$2:AT$49,(1+'Monthly Returns'!AT$2:AT$49))</f>
        <v>1.249171046479302E-2</v>
      </c>
      <c r="AV15" s="107" cm="1">
        <f t="array" ref="AV15">(AU15*(1+Table6[[#This Row],[Σεπ-24]]))/SUMPRODUCT(AU$2:AU$49,(1+'Monthly Returns'!AU$2:AU$49))</f>
        <v>1.2980302042040277E-2</v>
      </c>
      <c r="AW15" s="107" cm="1">
        <f t="array" ref="AW15">(AV15*(1+Table6[[#This Row],[Οκτ-24]]))/SUMPRODUCT(AV$2:AV$49,(1+'Monthly Returns'!AV$2:AV$49))</f>
        <v>1.3452738572268733E-2</v>
      </c>
      <c r="AX15" s="107" cm="1">
        <f t="array" ref="AX15">(AW15*(1+Table6[[#This Row],[Νοε-24]]))/SUMPRODUCT(AW$2:AW$49,(1+'Monthly Returns'!AW$2:AW$49))</f>
        <v>1.3714301292848228E-2</v>
      </c>
      <c r="AY15" s="109">
        <v>1.1773510999195606E-2</v>
      </c>
      <c r="AZ15" s="107" cm="1">
        <f t="array" ref="AZ15">(AY15*(1+Table6[[#This Row],[Ιαν-25]]))/SUMPRODUCT(AY$2:AY$49,(1+'Monthly Returns'!AY$2:AY$49))</f>
        <v>1.1711350455921466E-2</v>
      </c>
      <c r="BA15" s="107" cm="1">
        <f t="array" ref="BA15">(AZ15*(1+Table6[[#This Row],[Φεβ-25]]))/SUMPRODUCT(AZ$2:AZ$49,(1+'Monthly Returns'!AZ$2:AZ$49))</f>
        <v>1.1760950104667845E-2</v>
      </c>
      <c r="BB15" s="107" cm="1">
        <f t="array" ref="BB15">(BA15*(1+Table6[[#This Row],[Μαρ-25]]))/SUMPRODUCT(BA$2:BA$49,(1+'Monthly Returns'!BA$2:BA$49))</f>
        <v>1.3099985745327107E-2</v>
      </c>
      <c r="BC15" s="107" cm="1">
        <f t="array" ref="BC15">(BB15*(1+Table6[[#This Row],[Απρ-25]]))/SUMPRODUCT(BB$2:BB$49,(1+'Monthly Returns'!BB$2:BB$49))</f>
        <v>1.3457046849992559E-2</v>
      </c>
      <c r="BD15" s="109">
        <v>1.1773510999195606E-2</v>
      </c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</row>
    <row r="16" spans="1:92">
      <c r="A16" s="110" t="s">
        <v>142</v>
      </c>
      <c r="B16" s="110" t="s">
        <v>143</v>
      </c>
      <c r="C16" s="109">
        <v>9.0754147285466141E-3</v>
      </c>
      <c r="D16" s="107" cm="1">
        <f t="array" ref="D16">(Table684[[#This Row],[Ιαν-21]]*(1+Table6[[#This Row],[Ιαν-21]]))/SUMPRODUCT(C$2:C$49,(1+'Monthly Returns'!C$2:C$49))</f>
        <v>8.5783399898362884E-3</v>
      </c>
      <c r="E16" s="107" cm="1">
        <f t="array" ref="E16">(Table684[[#This Row],[Φεβ-21]]*(1+Table6[[#This Row],[Φεβ-21]]))/SUMPRODUCT(D$2:D$49,(1+'Monthly Returns'!D$2:D$49))</f>
        <v>7.4905244778152302E-3</v>
      </c>
      <c r="F16" s="107" cm="1">
        <f t="array" ref="F16">(Table684[[#This Row],[Μαρ-21]]*(1+Table6[[#This Row],[Μαρ-21]]))/SUMPRODUCT(E$2:E$49,(1+'Monthly Returns'!E$2:E$49))</f>
        <v>7.8409102006884515E-3</v>
      </c>
      <c r="G16" s="107" cm="1">
        <f t="array" ref="G16">(Table684[[#This Row],[Απρ-21]]*(1+Table6[[#This Row],[Απρ-21]]))/SUMPRODUCT(F$2:F$49,(1+'Monthly Returns'!F$2:F$49))</f>
        <v>8.4402088587639083E-3</v>
      </c>
      <c r="H16" s="109">
        <v>9.0754147285466141E-3</v>
      </c>
      <c r="I16" s="107" cm="1">
        <f t="array" ref="I16">(Table684[[#This Row],[Ιουν-21]]*(1+Table6[[#This Row],[Ιουν-21]]))/SUMPRODUCT(H$2:H$49,(1+'Monthly Returns'!H$2:H$49))</f>
        <v>9.2958897898580018E-3</v>
      </c>
      <c r="J16" s="107" cm="1">
        <f t="array" ref="J16">(Table684[[#This Row],[Ιουλ-21]]*(1+Table6[[#This Row],[Ιουλ-21]]))/SUMPRODUCT(I$2:I$49,(1+'Monthly Returns'!I$2:I$49))</f>
        <v>1.0500598467490211E-2</v>
      </c>
      <c r="K16" s="107" cm="1">
        <f t="array" ref="K16">(Table684[[#This Row],[Αυγ-21]]*(1+Table6[[#This Row],[Αυγ-21]]))/SUMPRODUCT(J$2:J$49,(1+'Monthly Returns'!J$2:J$49))</f>
        <v>1.0283412065881466E-2</v>
      </c>
      <c r="L16" s="107" cm="1">
        <f t="array" ref="L16">(Table684[[#This Row],[Σεπ-21]]*(1+Table6[[#This Row],[Σεπ-21]]))/SUMPRODUCT(K$2:K$49,(1+'Monthly Returns'!K$2:K$49))</f>
        <v>1.020148007488823E-2</v>
      </c>
      <c r="M16" s="107" cm="1">
        <f t="array" ref="M16">(Table684[[#This Row],[Οκτ-21]]*(1+Table6[[#This Row],[Οκτ-21]]))/SUMPRODUCT(L$2:L$49,(1+'Monthly Returns'!L$2:L$49))</f>
        <v>1.0701974979459074E-2</v>
      </c>
      <c r="N16" s="107" cm="1">
        <f t="array" ref="N16">(Table684[[#This Row],[Νοε-21]]*(1+Table6[[#This Row],[Νοε-21]]))/SUMPRODUCT(M$2:M$49,(1+'Monthly Returns'!M$2:M$49))</f>
        <v>1.1130449800658795E-2</v>
      </c>
      <c r="O16" s="109">
        <v>9.0754147285466141E-3</v>
      </c>
      <c r="P16" s="107" cm="1">
        <f t="array" ref="P16">(O16*(1+Table6[[#This Row],[Ιαν-22]]))/SUMPRODUCT(O$2:O$49,(1+'Monthly Returns'!O$2:O$49))</f>
        <v>7.8491771932015317E-3</v>
      </c>
      <c r="Q16" s="107" cm="1">
        <f t="array" ref="Q16">(P16*(1+Table6[[#This Row],[Φεβ-22]]))/SUMPRODUCT(P$2:P$49,(1+'Monthly Returns'!P$2:P$49))</f>
        <v>7.7315128783492513E-3</v>
      </c>
      <c r="R16" s="107" cm="1">
        <f t="array" ref="R16">(Q16*(1+Table6[[#This Row],[Μαρ-22]]))/SUMPRODUCT(Q$2:Q$49,(1+'Monthly Returns'!Q$2:Q$49))</f>
        <v>7.601782308637158E-3</v>
      </c>
      <c r="S16" s="107" cm="1">
        <f t="array" ref="S16">(R16*(1+Table6[[#This Row],[Απρ-22]]))/SUMPRODUCT(R$2:R$49,(1+'Monthly Returns'!R$2:R$49))</f>
        <v>7.1717169487048246E-3</v>
      </c>
      <c r="T16" s="109">
        <v>9.0754147285466141E-3</v>
      </c>
      <c r="U16" s="107" cm="1">
        <f t="array" ref="U16">(T16*(1+Table6[[#This Row],[Ιουν-22]]))/SUMPRODUCT(T$2:T$49,(1+'Monthly Returns'!T$2:T$49))</f>
        <v>8.9308338177182481E-3</v>
      </c>
      <c r="V16" s="107" cm="1">
        <f t="array" ref="V16">(U16*(1+Table6[[#This Row],[Ιουλ-22]]))/SUMPRODUCT(U$2:U$49,(1+'Monthly Returns'!U$2:U$49))</f>
        <v>1.0285463152477673E-2</v>
      </c>
      <c r="W16" s="107" cm="1">
        <f t="array" ref="W16">(V16*(1+Table6[[#This Row],[Αυγ-22]]))/SUMPRODUCT(V$2:V$49,(1+'Monthly Returns'!V$2:V$49))</f>
        <v>9.6215946571832928E-3</v>
      </c>
      <c r="X16" s="107" cm="1">
        <f t="array" ref="X16">(W16*(1+Table6[[#This Row],[Σεπ-22]]))/SUMPRODUCT(W$2:W$49,(1+'Monthly Returns'!W$2:W$49))</f>
        <v>1.0126471994602254E-2</v>
      </c>
      <c r="Y16" s="107" cm="1">
        <f t="array" ref="Y16">(X16*(1+Table6[[#This Row],[Οκτ-22]]))/SUMPRODUCT(X$2:X$49,(1+'Monthly Returns'!X$2:X$49))</f>
        <v>1.0025521972385539E-2</v>
      </c>
      <c r="Z16" s="107" cm="1">
        <f t="array" ref="Z16">(Y16*(1+Table6[[#This Row],[Νοε-22]]))/SUMPRODUCT(Y$2:Y$49,(1+'Monthly Returns'!Y$2:Y$49))</f>
        <v>9.7258072599988137E-3</v>
      </c>
      <c r="AA16" s="109">
        <v>9.0754147285466141E-3</v>
      </c>
      <c r="AB16" s="107" cm="1">
        <f t="array" ref="AB16">(AA16*(1+Table6[[#This Row],[Ιαν-23]]))/SUMPRODUCT(AA$2:AA$49,(1+'Monthly Returns'!AA$2:AA$49))</f>
        <v>8.8179210266166753E-3</v>
      </c>
      <c r="AC16" s="107" cm="1">
        <f t="array" ref="AC16">(AB16*(1+Table6[[#This Row],[Φεβ-23]]))/SUMPRODUCT(AB$2:AB$49,(1+'Monthly Returns'!AB$2:AB$49))</f>
        <v>8.2759526201641419E-3</v>
      </c>
      <c r="AD16" s="107" cm="1">
        <f t="array" ref="AD16">(AC16*(1+Table6[[#This Row],[Μαρ-23]]))/SUMPRODUCT(AC$2:AC$49,(1+'Monthly Returns'!AC$2:AC$49))</f>
        <v>7.7826121523753358E-3</v>
      </c>
      <c r="AE16" s="107" cm="1">
        <f t="array" ref="AE16">(AD16*(1+Table6[[#This Row],[Απρ-23]]))/SUMPRODUCT(AD$2:AD$49,(1+'Monthly Returns'!AD$2:AD$49))</f>
        <v>8.0276230754115375E-3</v>
      </c>
      <c r="AF16" s="109">
        <v>9.0754147285466141E-3</v>
      </c>
      <c r="AG16" s="107" cm="1">
        <f t="array" ref="AG16">(AF16*(1+Table6[[#This Row],[Ιουν-23]]))/SUMPRODUCT(AF$2:AF$49,(1+'Monthly Returns'!AF$2:AF$49))</f>
        <v>9.4738496677374533E-3</v>
      </c>
      <c r="AH16" s="107" cm="1">
        <f t="array" ref="AH16">(AG16*(1+Table6[[#This Row],[Ιουλ-23]]))/SUMPRODUCT(AG$2:AG$49,(1+'Monthly Returns'!AG$2:AG$49))</f>
        <v>9.2815128454766457E-3</v>
      </c>
      <c r="AI16" s="107" cm="1">
        <f t="array" ref="AI16">(AH16*(1+Table6[[#This Row],[Αυγ-23]]))/SUMPRODUCT(AH$2:AH$49,(1+'Monthly Returns'!AH$2:AH$49))</f>
        <v>8.6853850003164989E-3</v>
      </c>
      <c r="AJ16" s="107" cm="1">
        <f t="array" ref="AJ16">(AI16*(1+Table6[[#This Row],[Σεπ-23]]))/SUMPRODUCT(AI$2:AI$49,(1+'Monthly Returns'!AI$2:AI$49))</f>
        <v>8.4829785327972373E-3</v>
      </c>
      <c r="AK16" s="107" cm="1">
        <f t="array" ref="AK16">(AJ16*(1+Table6[[#This Row],[Οκτ-23]]))/SUMPRODUCT(AJ$2:AJ$49,(1+'Monthly Returns'!AJ$2:AJ$49))</f>
        <v>8.1342293930104937E-3</v>
      </c>
      <c r="AL16" s="107" cm="1">
        <f t="array" ref="AL16">(AK16*(1+Table6[[#This Row],[Νοε-23]]))/SUMPRODUCT(AK$2:AK$49,(1+'Monthly Returns'!AK$2:AK$49))</f>
        <v>8.7914572803466581E-3</v>
      </c>
      <c r="AM16" s="109">
        <v>9.0754147285466141E-3</v>
      </c>
      <c r="AN16" s="107" cm="1">
        <f t="array" ref="AN16">(AM16*(1+Table6[[#This Row],[Ιαν-24]]))/SUMPRODUCT(AM$2:AM$49,(1+'Monthly Returns'!AM$2:AM$49))</f>
        <v>9.3762535178952503E-3</v>
      </c>
      <c r="AO16" s="107" cm="1">
        <f t="array" ref="AO16">(AN16*(1+Table6[[#This Row],[Φεβ-24]]))/SUMPRODUCT(AN$2:AN$49,(1+'Monthly Returns'!AN$2:AN$49))</f>
        <v>9.2766678355915393E-3</v>
      </c>
      <c r="AP16" s="107" cm="1">
        <f t="array" ref="AP16">(AO16*(1+Table6[[#This Row],[Μαρ-24]]))/SUMPRODUCT(AO$2:AO$49,(1+'Monthly Returns'!AO$2:AO$49))</f>
        <v>8.9791901255480266E-3</v>
      </c>
      <c r="AQ16" s="107" cm="1">
        <f t="array" ref="AQ16">(AP16*(1+Table6[[#This Row],[Απρ-24]]))/SUMPRODUCT(AP$2:AP$49,(1+'Monthly Returns'!AP$2:AP$49))</f>
        <v>8.4644044371153544E-3</v>
      </c>
      <c r="AR16" s="109">
        <v>9.0754147285466141E-3</v>
      </c>
      <c r="AS16" s="107" cm="1">
        <f t="array" ref="AS16">(AR16*(1+Table6[[#This Row],[Ιουν-24]]))/SUMPRODUCT(AR$2:AR$49,(1+'Monthly Returns'!AR$2:AR$49))</f>
        <v>9.5135165345899882E-3</v>
      </c>
      <c r="AT16" s="107" cm="1">
        <f t="array" ref="AT16">(AS16*(1+Table6[[#This Row],[Ιουλ-24]]))/SUMPRODUCT(AS$2:AS$49,(1+'Monthly Returns'!AS$2:AS$49))</f>
        <v>9.2812258022636727E-3</v>
      </c>
      <c r="AU16" s="107" cm="1">
        <f t="array" ref="AU16">(AT16*(1+Table6[[#This Row],[Αυγ-24]]))/SUMPRODUCT(AT$2:AT$49,(1+'Monthly Returns'!AT$2:AT$49))</f>
        <v>9.0623811161944876E-3</v>
      </c>
      <c r="AV16" s="107" cm="1">
        <f t="array" ref="AV16">(AU16*(1+Table6[[#This Row],[Σεπ-24]]))/SUMPRODUCT(AU$2:AU$49,(1+'Monthly Returns'!AU$2:AU$49))</f>
        <v>9.7929702420248912E-3</v>
      </c>
      <c r="AW16" s="107" cm="1">
        <f t="array" ref="AW16">(AV16*(1+Table6[[#This Row],[Οκτ-24]]))/SUMPRODUCT(AV$2:AV$49,(1+'Monthly Returns'!AV$2:AV$49))</f>
        <v>9.4773133538944808E-3</v>
      </c>
      <c r="AX16" s="107" cm="1">
        <f t="array" ref="AX16">(AW16*(1+Table6[[#This Row],[Νοε-24]]))/SUMPRODUCT(AW$2:AW$49,(1+'Monthly Returns'!AW$2:AW$49))</f>
        <v>9.4000300645351725E-3</v>
      </c>
      <c r="AY16" s="109">
        <v>9.0754147285466141E-3</v>
      </c>
      <c r="AZ16" s="107" cm="1">
        <f t="array" ref="AZ16">(AY16*(1+Table6[[#This Row],[Ιαν-25]]))/SUMPRODUCT(AY$2:AY$49,(1+'Monthly Returns'!AY$2:AY$49))</f>
        <v>9.7341165731381664E-3</v>
      </c>
      <c r="BA16" s="107" cm="1">
        <f t="array" ref="BA16">(AZ16*(1+Table6[[#This Row],[Φεβ-25]]))/SUMPRODUCT(AZ$2:AZ$49,(1+'Monthly Returns'!AZ$2:AZ$49))</f>
        <v>8.8215373154910907E-3</v>
      </c>
      <c r="BB16" s="107" cm="1">
        <f t="array" ref="BB16">(BA16*(1+Table6[[#This Row],[Μαρ-25]]))/SUMPRODUCT(BA$2:BA$49,(1+'Monthly Returns'!BA$2:BA$49))</f>
        <v>8.4334230119808597E-3</v>
      </c>
      <c r="BC16" s="107" cm="1">
        <f t="array" ref="BC16">(BB16*(1+Table6[[#This Row],[Απρ-25]]))/SUMPRODUCT(BB$2:BB$49,(1+'Monthly Returns'!BB$2:BB$49))</f>
        <v>8.5795942776009521E-3</v>
      </c>
      <c r="BD16" s="109">
        <v>9.0754147285466141E-3</v>
      </c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</row>
    <row r="17" spans="1:92">
      <c r="A17" s="110" t="s">
        <v>109</v>
      </c>
      <c r="B17" s="110" t="s">
        <v>110</v>
      </c>
      <c r="C17" s="109">
        <v>4.0748228376166616E-2</v>
      </c>
      <c r="D17" s="107" cm="1">
        <f t="array" ref="D17">(Table684[[#This Row],[Ιαν-21]]*(1+Table6[[#This Row],[Ιαν-21]]))/SUMPRODUCT(C$2:C$49,(1+'Monthly Returns'!C$2:C$49))</f>
        <v>4.4936467908175619E-2</v>
      </c>
      <c r="E17" s="107" cm="1">
        <f t="array" ref="E17">(Table684[[#This Row],[Φεβ-21]]*(1+Table6[[#This Row],[Φεβ-21]]))/SUMPRODUCT(D$2:D$49,(1+'Monthly Returns'!D$2:D$49))</f>
        <v>4.4432704916057074E-2</v>
      </c>
      <c r="F17" s="107" cm="1">
        <f t="array" ref="F17">(Table684[[#This Row],[Μαρ-21]]*(1+Table6[[#This Row],[Μαρ-21]]))/SUMPRODUCT(E$2:E$49,(1+'Monthly Returns'!E$2:E$49))</f>
        <v>4.5350132219052673E-2</v>
      </c>
      <c r="G17" s="107" cm="1">
        <f t="array" ref="G17">(Table684[[#This Row],[Απρ-21]]*(1+Table6[[#This Row],[Απρ-21]]))/SUMPRODUCT(F$2:F$49,(1+'Monthly Returns'!F$2:F$49))</f>
        <v>4.4237027008546058E-2</v>
      </c>
      <c r="H17" s="109">
        <v>4.0748228376166616E-2</v>
      </c>
      <c r="I17" s="107" cm="1">
        <f t="array" ref="I17">(Table684[[#This Row],[Ιουν-21]]*(1+Table6[[#This Row],[Ιουν-21]]))/SUMPRODUCT(H$2:H$49,(1+'Monthly Returns'!H$2:H$49))</f>
        <v>4.0470320101628689E-2</v>
      </c>
      <c r="J17" s="107" cm="1">
        <f t="array" ref="J17">(Table684[[#This Row],[Ιουλ-21]]*(1+Table6[[#This Row],[Ιουλ-21]]))/SUMPRODUCT(I$2:I$49,(1+'Monthly Returns'!I$2:I$49))</f>
        <v>3.9175244537641075E-2</v>
      </c>
      <c r="K17" s="107" cm="1">
        <f t="array" ref="K17">(Table684[[#This Row],[Αυγ-21]]*(1+Table6[[#This Row],[Αυγ-21]]))/SUMPRODUCT(J$2:J$49,(1+'Monthly Returns'!J$2:J$49))</f>
        <v>4.0628472625868772E-2</v>
      </c>
      <c r="L17" s="107" cm="1">
        <f t="array" ref="L17">(Table684[[#This Row],[Σεπ-21]]*(1+Table6[[#This Row],[Σεπ-21]]))/SUMPRODUCT(K$2:K$49,(1+'Monthly Returns'!K$2:K$49))</f>
        <v>4.2213548922718724E-2</v>
      </c>
      <c r="M17" s="107" cm="1">
        <f t="array" ref="M17">(Table684[[#This Row],[Οκτ-21]]*(1+Table6[[#This Row],[Οκτ-21]]))/SUMPRODUCT(L$2:L$49,(1+'Monthly Returns'!L$2:L$49))</f>
        <v>3.9854110038180103E-2</v>
      </c>
      <c r="N17" s="107" cm="1">
        <f t="array" ref="N17">(Table684[[#This Row],[Νοε-21]]*(1+Table6[[#This Row],[Νοε-21]]))/SUMPRODUCT(M$2:M$49,(1+'Monthly Returns'!M$2:M$49))</f>
        <v>4.1789840471983968E-2</v>
      </c>
      <c r="O17" s="109">
        <v>4.0748228376166616E-2</v>
      </c>
      <c r="P17" s="107" cm="1">
        <f t="array" ref="P17">(O17*(1+Table6[[#This Row],[Ιαν-22]]))/SUMPRODUCT(O$2:O$49,(1+'Monthly Returns'!O$2:O$49))</f>
        <v>3.7889255391909765E-2</v>
      </c>
      <c r="Q17" s="107" cm="1">
        <f t="array" ref="Q17">(P17*(1+Table6[[#This Row],[Φεβ-22]]))/SUMPRODUCT(P$2:P$49,(1+'Monthly Returns'!P$2:P$49))</f>
        <v>3.584790745899516E-2</v>
      </c>
      <c r="R17" s="107" cm="1">
        <f t="array" ref="R17">(Q17*(1+Table6[[#This Row],[Μαρ-22]]))/SUMPRODUCT(Q$2:Q$49,(1+'Monthly Returns'!Q$2:Q$49))</f>
        <v>3.5468851850896092E-2</v>
      </c>
      <c r="S17" s="107" cm="1">
        <f t="array" ref="S17">(R17*(1+Table6[[#This Row],[Απρ-22]]))/SUMPRODUCT(R$2:R$49,(1+'Monthly Returns'!R$2:R$49))</f>
        <v>3.2565446446499134E-2</v>
      </c>
      <c r="T17" s="109">
        <v>4.0748228376166616E-2</v>
      </c>
      <c r="U17" s="107" cm="1">
        <f t="array" ref="U17">(T17*(1+Table6[[#This Row],[Ιουν-22]]))/SUMPRODUCT(T$2:T$49,(1+'Monthly Returns'!T$2:T$49))</f>
        <v>3.4983802403280993E-2</v>
      </c>
      <c r="V17" s="107" cm="1">
        <f t="array" ref="V17">(U17*(1+Table6[[#This Row],[Ιουλ-22]]))/SUMPRODUCT(U$2:U$49,(1+'Monthly Returns'!U$2:U$49))</f>
        <v>3.6796686728884004E-2</v>
      </c>
      <c r="W17" s="107" cm="1">
        <f t="array" ref="W17">(V17*(1+Table6[[#This Row],[Αυγ-22]]))/SUMPRODUCT(V$2:V$49,(1+'Monthly Returns'!V$2:V$49))</f>
        <v>3.6116190346191859E-2</v>
      </c>
      <c r="X17" s="107" cm="1">
        <f t="array" ref="X17">(W17*(1+Table6[[#This Row],[Σεπ-22]]))/SUMPRODUCT(W$2:W$49,(1+'Monthly Returns'!W$2:W$49))</f>
        <v>3.7466403667621946E-2</v>
      </c>
      <c r="Y17" s="107" cm="1">
        <f t="array" ref="Y17">(X17*(1+Table6[[#This Row],[Οκτ-22]]))/SUMPRODUCT(X$2:X$49,(1+'Monthly Returns'!X$2:X$49))</f>
        <v>3.8815722181836862E-2</v>
      </c>
      <c r="Z17" s="107" cm="1">
        <f t="array" ref="Z17">(Y17*(1+Table6[[#This Row],[Νοε-22]]))/SUMPRODUCT(Y$2:Y$49,(1+'Monthly Returns'!Y$2:Y$49))</f>
        <v>4.3249762308098828E-2</v>
      </c>
      <c r="AA17" s="109">
        <v>4.0748228376166616E-2</v>
      </c>
      <c r="AB17" s="107" cm="1">
        <f t="array" ref="AB17">(AA17*(1+Table6[[#This Row],[Ιαν-23]]))/SUMPRODUCT(AA$2:AA$49,(1+'Monthly Returns'!AA$2:AA$49))</f>
        <v>4.1280996452551483E-2</v>
      </c>
      <c r="AC17" s="107" cm="1">
        <f t="array" ref="AC17">(AB17*(1+Table6[[#This Row],[Φεβ-23]]))/SUMPRODUCT(AB$2:AB$49,(1+'Monthly Returns'!AB$2:AB$49))</f>
        <v>4.2183342396774383E-2</v>
      </c>
      <c r="AD17" s="107" cm="1">
        <f t="array" ref="AD17">(AC17*(1+Table6[[#This Row],[Μαρ-23]]))/SUMPRODUCT(AC$2:AC$49,(1+'Monthly Returns'!AC$2:AC$49))</f>
        <v>4.328988047481195E-2</v>
      </c>
      <c r="AE17" s="107" cm="1">
        <f t="array" ref="AE17">(AD17*(1+Table6[[#This Row],[Απρ-23]]))/SUMPRODUCT(AD$2:AD$49,(1+'Monthly Returns'!AD$2:AD$49))</f>
        <v>4.192722415375974E-2</v>
      </c>
      <c r="AF17" s="109">
        <v>4.0748228376166616E-2</v>
      </c>
      <c r="AG17" s="107" cm="1">
        <f t="array" ref="AG17">(AF17*(1+Table6[[#This Row],[Ιουν-23]]))/SUMPRODUCT(AF$2:AF$49,(1+'Monthly Returns'!AF$2:AF$49))</f>
        <v>3.9306112175390637E-2</v>
      </c>
      <c r="AH17" s="107" cm="1">
        <f t="array" ref="AH17">(AG17*(1+Table6[[#This Row],[Ιουλ-23]]))/SUMPRODUCT(AG$2:AG$49,(1+'Monthly Returns'!AG$2:AG$49))</f>
        <v>3.9004879579979612E-2</v>
      </c>
      <c r="AI17" s="107" cm="1">
        <f t="array" ref="AI17">(AH17*(1+Table6[[#This Row],[Αυγ-23]]))/SUMPRODUCT(AH$2:AH$49,(1+'Monthly Returns'!AH$2:AH$49))</f>
        <v>3.5660759502043594E-2</v>
      </c>
      <c r="AJ17" s="107" cm="1">
        <f t="array" ref="AJ17">(AI17*(1+Table6[[#This Row],[Σεπ-23]]))/SUMPRODUCT(AI$2:AI$49,(1+'Monthly Returns'!AI$2:AI$49))</f>
        <v>3.5256803869635235E-2</v>
      </c>
      <c r="AK17" s="107" cm="1">
        <f t="array" ref="AK17">(AJ17*(1+Table6[[#This Row],[Οκτ-23]]))/SUMPRODUCT(AJ$2:AJ$49,(1+'Monthly Returns'!AJ$2:AJ$49))</f>
        <v>3.3921069526609636E-2</v>
      </c>
      <c r="AL17" s="107" cm="1">
        <f t="array" ref="AL17">(AK17*(1+Table6[[#This Row],[Νοε-23]]))/SUMPRODUCT(AK$2:AK$49,(1+'Monthly Returns'!AK$2:AK$49))</f>
        <v>3.8423655306863237E-2</v>
      </c>
      <c r="AM17" s="109">
        <v>4.0748228376166616E-2</v>
      </c>
      <c r="AN17" s="107" cm="1">
        <f t="array" ref="AN17">(AM17*(1+Table6[[#This Row],[Ιαν-24]]))/SUMPRODUCT(AM$2:AM$49,(1+'Monthly Returns'!AM$2:AM$49))</f>
        <v>3.9174606833314404E-2</v>
      </c>
      <c r="AO17" s="107" cm="1">
        <f t="array" ref="AO17">(AN17*(1+Table6[[#This Row],[Φεβ-24]]))/SUMPRODUCT(AN$2:AN$49,(1+'Monthly Returns'!AN$2:AN$49))</f>
        <v>4.2889593953879916E-2</v>
      </c>
      <c r="AP17" s="107" cm="1">
        <f t="array" ref="AP17">(AO17*(1+Table6[[#This Row],[Μαρ-24]]))/SUMPRODUCT(AO$2:AO$49,(1+'Monthly Returns'!AO$2:AO$49))</f>
        <v>3.9307030700551658E-2</v>
      </c>
      <c r="AQ17" s="107" cm="1">
        <f t="array" ref="AQ17">(AP17*(1+Table6[[#This Row],[Απρ-24]]))/SUMPRODUCT(AP$2:AP$49,(1+'Monthly Returns'!AP$2:AP$49))</f>
        <v>3.9078346056536609E-2</v>
      </c>
      <c r="AR17" s="109">
        <v>4.0748228376166616E-2</v>
      </c>
      <c r="AS17" s="107" cm="1">
        <f t="array" ref="AS17">(AR17*(1+Table6[[#This Row],[Ιουν-24]]))/SUMPRODUCT(AR$2:AR$49,(1+'Monthly Returns'!AR$2:AR$49))</f>
        <v>4.0427188874710349E-2</v>
      </c>
      <c r="AT17" s="107" cm="1">
        <f t="array" ref="AT17">(AS17*(1+Table6[[#This Row],[Ιουλ-24]]))/SUMPRODUCT(AS$2:AS$49,(1+'Monthly Returns'!AS$2:AS$49))</f>
        <v>3.8358615614511309E-2</v>
      </c>
      <c r="AU17" s="107" cm="1">
        <f t="array" ref="AU17">(AT17*(1+Table6[[#This Row],[Αυγ-24]]))/SUMPRODUCT(AT$2:AT$49,(1+'Monthly Returns'!AT$2:AT$49))</f>
        <v>3.7525103914803813E-2</v>
      </c>
      <c r="AV17" s="107" cm="1">
        <f t="array" ref="AV17">(AU17*(1+Table6[[#This Row],[Σεπ-24]]))/SUMPRODUCT(AU$2:AU$49,(1+'Monthly Returns'!AU$2:AU$49))</f>
        <v>3.9983603973559496E-2</v>
      </c>
      <c r="AW17" s="107" cm="1">
        <f t="array" ref="AW17">(AV17*(1+Table6[[#This Row],[Οκτ-24]]))/SUMPRODUCT(AV$2:AV$49,(1+'Monthly Returns'!AV$2:AV$49))</f>
        <v>4.0293805124024008E-2</v>
      </c>
      <c r="AX17" s="107" cm="1">
        <f t="array" ref="AX17">(AW17*(1+Table6[[#This Row],[Νοε-24]]))/SUMPRODUCT(AW$2:AW$49,(1+'Monthly Returns'!AW$2:AW$49))</f>
        <v>4.045989512754905E-2</v>
      </c>
      <c r="AY17" s="109">
        <v>4.0748228376166616E-2</v>
      </c>
      <c r="AZ17" s="107" cm="1">
        <f t="array" ref="AZ17">(AY17*(1+Table6[[#This Row],[Ιαν-25]]))/SUMPRODUCT(AY$2:AY$49,(1+'Monthly Returns'!AY$2:AY$49))</f>
        <v>4.1313009523319788E-2</v>
      </c>
      <c r="BA17" s="107" cm="1">
        <f t="array" ref="BA17">(AZ17*(1+Table6[[#This Row],[Φεβ-25]]))/SUMPRODUCT(AZ$2:AZ$49,(1+'Monthly Returns'!AZ$2:AZ$49))</f>
        <v>4.3148125992920838E-2</v>
      </c>
      <c r="BB17" s="107" cm="1">
        <f t="array" ref="BB17">(BA17*(1+Table6[[#This Row],[Μαρ-25]]))/SUMPRODUCT(BA$2:BA$49,(1+'Monthly Returns'!BA$2:BA$49))</f>
        <v>4.25784158406581E-2</v>
      </c>
      <c r="BC17" s="107" cm="1">
        <f t="array" ref="BC17">(BB17*(1+Table6[[#This Row],[Απρ-25]]))/SUMPRODUCT(BB$2:BB$49,(1+'Monthly Returns'!BB$2:BB$49))</f>
        <v>4.0320466123881335E-2</v>
      </c>
      <c r="BD17" s="109">
        <v>4.0748228376166616E-2</v>
      </c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</row>
    <row r="18" spans="1:92">
      <c r="A18" s="110" t="s">
        <v>134</v>
      </c>
      <c r="B18" s="110" t="s">
        <v>135</v>
      </c>
      <c r="C18" s="109">
        <v>3.1344791058589706E-2</v>
      </c>
      <c r="D18" s="107" cm="1">
        <f t="array" ref="D18">(Table684[[#This Row],[Ιαν-21]]*(1+Table6[[#This Row],[Ιαν-21]]))/SUMPRODUCT(C$2:C$49,(1+'Monthly Returns'!C$2:C$49))</f>
        <v>3.2407889669042955E-2</v>
      </c>
      <c r="E18" s="107" cm="1">
        <f t="array" ref="E18">(Table684[[#This Row],[Φεβ-21]]*(1+Table6[[#This Row],[Φεβ-21]]))/SUMPRODUCT(D$2:D$49,(1+'Monthly Returns'!D$2:D$49))</f>
        <v>3.1630397427121995E-2</v>
      </c>
      <c r="F18" s="107" cm="1">
        <f t="array" ref="F18">(Table684[[#This Row],[Μαρ-21]]*(1+Table6[[#This Row],[Μαρ-21]]))/SUMPRODUCT(E$2:E$49,(1+'Monthly Returns'!E$2:E$49))</f>
        <v>3.1406638102573388E-2</v>
      </c>
      <c r="G18" s="107" cm="1">
        <f t="array" ref="G18">(Table684[[#This Row],[Απρ-21]]*(1+Table6[[#This Row],[Απρ-21]]))/SUMPRODUCT(F$2:F$49,(1+'Monthly Returns'!F$2:F$49))</f>
        <v>3.1537459585125834E-2</v>
      </c>
      <c r="H18" s="109">
        <v>3.1344791058589706E-2</v>
      </c>
      <c r="I18" s="107" cm="1">
        <f t="array" ref="I18">(Table684[[#This Row],[Ιουν-21]]*(1+Table6[[#This Row],[Ιουν-21]]))/SUMPRODUCT(H$2:H$49,(1+'Monthly Returns'!H$2:H$49))</f>
        <v>3.1643333155546668E-2</v>
      </c>
      <c r="J18" s="107" cm="1">
        <f t="array" ref="J18">(Table684[[#This Row],[Ιουλ-21]]*(1+Table6[[#This Row],[Ιουλ-21]]))/SUMPRODUCT(I$2:I$49,(1+'Monthly Returns'!I$2:I$49))</f>
        <v>3.3267105784028111E-2</v>
      </c>
      <c r="K18" s="107" cm="1">
        <f t="array" ref="K18">(Table684[[#This Row],[Αυγ-21]]*(1+Table6[[#This Row],[Αυγ-21]]))/SUMPRODUCT(J$2:J$49,(1+'Monthly Returns'!J$2:J$49))</f>
        <v>3.4708615923347452E-2</v>
      </c>
      <c r="L18" s="107" cm="1">
        <f t="array" ref="L18">(Table684[[#This Row],[Σεπ-21]]*(1+Table6[[#This Row],[Σεπ-21]]))/SUMPRODUCT(K$2:K$49,(1+'Monthly Returns'!K$2:K$49))</f>
        <v>3.3789052900515079E-2</v>
      </c>
      <c r="M18" s="107" cm="1">
        <f t="array" ref="M18">(Table684[[#This Row],[Οκτ-21]]*(1+Table6[[#This Row],[Οκτ-21]]))/SUMPRODUCT(L$2:L$49,(1+'Monthly Returns'!L$2:L$49))</f>
        <v>3.3448956788876584E-2</v>
      </c>
      <c r="N18" s="107" cm="1">
        <f t="array" ref="N18">(Table684[[#This Row],[Νοε-21]]*(1+Table6[[#This Row],[Νοε-21]]))/SUMPRODUCT(M$2:M$49,(1+'Monthly Returns'!M$2:M$49))</f>
        <v>3.6521642273308091E-2</v>
      </c>
      <c r="O18" s="109">
        <v>3.1344791058589706E-2</v>
      </c>
      <c r="P18" s="107" cm="1">
        <f t="array" ref="P18">(O18*(1+Table6[[#This Row],[Ιαν-22]]))/SUMPRODUCT(O$2:O$49,(1+'Monthly Returns'!O$2:O$49))</f>
        <v>2.7381481467982555E-2</v>
      </c>
      <c r="Q18" s="107" cm="1">
        <f t="array" ref="Q18">(P18*(1+Table6[[#This Row],[Φεβ-22]]))/SUMPRODUCT(P$2:P$49,(1+'Monthly Returns'!P$2:P$49))</f>
        <v>2.6573505665649835E-2</v>
      </c>
      <c r="R18" s="107" cm="1">
        <f t="array" ref="R18">(Q18*(1+Table6[[#This Row],[Μαρ-22]]))/SUMPRODUCT(Q$2:Q$49,(1+'Monthly Returns'!Q$2:Q$49))</f>
        <v>2.8493812437345761E-2</v>
      </c>
      <c r="S18" s="107" cm="1">
        <f t="array" ref="S18">(R18*(1+Table6[[#This Row],[Απρ-22]]))/SUMPRODUCT(R$2:R$49,(1+'Monthly Returns'!R$2:R$49))</f>
        <v>2.5568076661515754E-2</v>
      </c>
      <c r="T18" s="109">
        <v>3.1344791058589706E-2</v>
      </c>
      <c r="U18" s="107" cm="1">
        <f t="array" ref="U18">(T18*(1+Table6[[#This Row],[Ιουν-22]]))/SUMPRODUCT(T$2:T$49,(1+'Monthly Returns'!T$2:T$49))</f>
        <v>2.9780039232744887E-2</v>
      </c>
      <c r="V18" s="107" cm="1">
        <f t="array" ref="V18">(U18*(1+Table6[[#This Row],[Ιουλ-22]]))/SUMPRODUCT(U$2:U$49,(1+'Monthly Returns'!U$2:U$49))</f>
        <v>3.3432987162354988E-2</v>
      </c>
      <c r="W18" s="107" cm="1">
        <f t="array" ref="W18">(V18*(1+Table6[[#This Row],[Αυγ-22]]))/SUMPRODUCT(V$2:V$49,(1+'Monthly Returns'!V$2:V$49))</f>
        <v>3.1105965260176248E-2</v>
      </c>
      <c r="X18" s="107" cm="1">
        <f t="array" ref="X18">(W18*(1+Table6[[#This Row],[Σεπ-22]]))/SUMPRODUCT(W$2:W$49,(1+'Monthly Returns'!W$2:W$49))</f>
        <v>3.2311536317841574E-2</v>
      </c>
      <c r="Y18" s="107" cm="1">
        <f t="array" ref="Y18">(X18*(1+Table6[[#This Row],[Οκτ-22]]))/SUMPRODUCT(X$2:X$49,(1+'Monthly Returns'!X$2:X$49))</f>
        <v>3.2987966755116574E-2</v>
      </c>
      <c r="Z18" s="107" cm="1">
        <f t="array" ref="Z18">(Y18*(1+Table6[[#This Row],[Νοε-22]]))/SUMPRODUCT(Y$2:Y$49,(1+'Monthly Returns'!Y$2:Y$49))</f>
        <v>3.3159030121024946E-2</v>
      </c>
      <c r="AA18" s="109">
        <v>3.1344791058589706E-2</v>
      </c>
      <c r="AB18" s="107" cm="1">
        <f t="array" ref="AB18">(AA18*(1+Table6[[#This Row],[Ιαν-23]]))/SUMPRODUCT(AA$2:AA$49,(1+'Monthly Returns'!AA$2:AA$49))</f>
        <v>3.2611136422230909E-2</v>
      </c>
      <c r="AC18" s="107" cm="1">
        <f t="array" ref="AC18">(AB18*(1+Table6[[#This Row],[Φεβ-23]]))/SUMPRODUCT(AB$2:AB$49,(1+'Monthly Returns'!AB$2:AB$49))</f>
        <v>3.2862562290475052E-2</v>
      </c>
      <c r="AD18" s="107" cm="1">
        <f t="array" ref="AD18">(AC18*(1+Table6[[#This Row],[Μαρ-23]]))/SUMPRODUCT(AC$2:AC$49,(1+'Monthly Returns'!AC$2:AC$49))</f>
        <v>3.3063526879701051E-2</v>
      </c>
      <c r="AE18" s="107" cm="1">
        <f t="array" ref="AE18">(AD18*(1+Table6[[#This Row],[Απρ-23]]))/SUMPRODUCT(AD$2:AD$49,(1+'Monthly Returns'!AD$2:AD$49))</f>
        <v>3.3039468418465119E-2</v>
      </c>
      <c r="AF18" s="109">
        <v>3.1344791058589706E-2</v>
      </c>
      <c r="AG18" s="107" cm="1">
        <f t="array" ref="AG18">(AF18*(1+Table6[[#This Row],[Ιουν-23]]))/SUMPRODUCT(AF$2:AF$49,(1+'Monthly Returns'!AF$2:AF$49))</f>
        <v>3.1347538269327804E-2</v>
      </c>
      <c r="AH18" s="107" cm="1">
        <f t="array" ref="AH18">(AG18*(1+Table6[[#This Row],[Ιουλ-23]]))/SUMPRODUCT(AG$2:AG$49,(1+'Monthly Returns'!AG$2:AG$49))</f>
        <v>2.9894208843178692E-2</v>
      </c>
      <c r="AI18" s="107" cm="1">
        <f t="array" ref="AI18">(AH18*(1+Table6[[#This Row],[Αυγ-23]]))/SUMPRODUCT(AH$2:AH$49,(1+'Monthly Returns'!AH$2:AH$49))</f>
        <v>2.982084179343954E-2</v>
      </c>
      <c r="AJ18" s="107" cm="1">
        <f t="array" ref="AJ18">(AI18*(1+Table6[[#This Row],[Σεπ-23]]))/SUMPRODUCT(AI$2:AI$49,(1+'Monthly Returns'!AI$2:AI$49))</f>
        <v>2.9961257063073874E-2</v>
      </c>
      <c r="AK18" s="107" cm="1">
        <f t="array" ref="AK18">(AJ18*(1+Table6[[#This Row],[Οκτ-23]]))/SUMPRODUCT(AJ$2:AJ$49,(1+'Monthly Returns'!AJ$2:AJ$49))</f>
        <v>2.8794972179830004E-2</v>
      </c>
      <c r="AL18" s="107" cm="1">
        <f t="array" ref="AL18">(AK18*(1+Table6[[#This Row],[Νοε-23]]))/SUMPRODUCT(AK$2:AK$49,(1+'Monthly Returns'!AK$2:AK$49))</f>
        <v>3.0788012566683919E-2</v>
      </c>
      <c r="AM18" s="109">
        <v>3.1344791058589706E-2</v>
      </c>
      <c r="AN18" s="107" cm="1">
        <f t="array" ref="AN18">(AM18*(1+Table6[[#This Row],[Ιαν-24]]))/SUMPRODUCT(AM$2:AM$49,(1+'Monthly Returns'!AM$2:AM$49))</f>
        <v>3.1006386838107528E-2</v>
      </c>
      <c r="AO18" s="107" cm="1">
        <f t="array" ref="AO18">(AN18*(1+Table6[[#This Row],[Φεβ-24]]))/SUMPRODUCT(AN$2:AN$49,(1+'Monthly Returns'!AN$2:AN$49))</f>
        <v>3.4378334148177543E-2</v>
      </c>
      <c r="AP18" s="107" cm="1">
        <f t="array" ref="AP18">(AO18*(1+Table6[[#This Row],[Μαρ-24]]))/SUMPRODUCT(AO$2:AO$49,(1+'Monthly Returns'!AO$2:AO$49))</f>
        <v>3.255911150637273E-2</v>
      </c>
      <c r="AQ18" s="107" cm="1">
        <f t="array" ref="AQ18">(AP18*(1+Table6[[#This Row],[Απρ-24]]))/SUMPRODUCT(AP$2:AP$49,(1+'Monthly Returns'!AP$2:AP$49))</f>
        <v>3.3479130498114407E-2</v>
      </c>
      <c r="AR18" s="109">
        <v>3.1344791058589706E-2</v>
      </c>
      <c r="AS18" s="107" cm="1">
        <f t="array" ref="AS18">(AR18*(1+Table6[[#This Row],[Ιουν-24]]))/SUMPRODUCT(AR$2:AR$49,(1+'Monthly Returns'!AR$2:AR$49))</f>
        <v>3.12754307945209E-2</v>
      </c>
      <c r="AT18" s="107" cm="1">
        <f t="array" ref="AT18">(AS18*(1+Table6[[#This Row],[Ιουλ-24]]))/SUMPRODUCT(AS$2:AS$49,(1+'Monthly Returns'!AS$2:AS$49))</f>
        <v>3.022579983620002E-2</v>
      </c>
      <c r="AU18" s="107" cm="1">
        <f t="array" ref="AU18">(AT18*(1+Table6[[#This Row],[Αυγ-24]]))/SUMPRODUCT(AT$2:AT$49,(1+'Monthly Returns'!AT$2:AT$49))</f>
        <v>3.0331188661470207E-2</v>
      </c>
      <c r="AV18" s="107" cm="1">
        <f t="array" ref="AV18">(AU18*(1+Table6[[#This Row],[Σεπ-24]]))/SUMPRODUCT(AU$2:AU$49,(1+'Monthly Returns'!AU$2:AU$49))</f>
        <v>3.11929613723042E-2</v>
      </c>
      <c r="AW18" s="107" cm="1">
        <f t="array" ref="AW18">(AV18*(1+Table6[[#This Row],[Οκτ-24]]))/SUMPRODUCT(AV$2:AV$49,(1+'Monthly Returns'!AV$2:AV$49))</f>
        <v>3.2037947554640324E-2</v>
      </c>
      <c r="AX18" s="107" cm="1">
        <f t="array" ref="AX18">(AW18*(1+Table6[[#This Row],[Νοε-24]]))/SUMPRODUCT(AW$2:AW$49,(1+'Monthly Returns'!AW$2:AW$49))</f>
        <v>3.2302160915855735E-2</v>
      </c>
      <c r="AY18" s="109">
        <v>3.1344791058589706E-2</v>
      </c>
      <c r="AZ18" s="107" cm="1">
        <f t="array" ref="AZ18">(AY18*(1+Table6[[#This Row],[Ιαν-25]]))/SUMPRODUCT(AY$2:AY$49,(1+'Monthly Returns'!AY$2:AY$49))</f>
        <v>2.9661981304633711E-2</v>
      </c>
      <c r="BA18" s="107" cm="1">
        <f t="array" ref="BA18">(AZ18*(1+Table6[[#This Row],[Φεβ-25]]))/SUMPRODUCT(AZ$2:AZ$49,(1+'Monthly Returns'!AZ$2:AZ$49))</f>
        <v>2.6931994525965418E-2</v>
      </c>
      <c r="BB18" s="107" cm="1">
        <f t="array" ref="BB18">(BA18*(1+Table6[[#This Row],[Μαρ-25]]))/SUMPRODUCT(BA$2:BA$49,(1+'Monthly Returns'!BA$2:BA$49))</f>
        <v>2.4818595360387202E-2</v>
      </c>
      <c r="BC18" s="107" cm="1">
        <f t="array" ref="BC18">(BB18*(1+Table6[[#This Row],[Απρ-25]]))/SUMPRODUCT(BB$2:BB$49,(1+'Monthly Returns'!BB$2:BB$49))</f>
        <v>2.3864524585598443E-2</v>
      </c>
      <c r="BD18" s="109">
        <v>3.1344791058589706E-2</v>
      </c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</row>
    <row r="19" spans="1:92">
      <c r="A19" s="110" t="s">
        <v>156</v>
      </c>
      <c r="B19" s="110" t="s">
        <v>157</v>
      </c>
      <c r="C19" s="109">
        <v>1.9661732573115362E-2</v>
      </c>
      <c r="D19" s="107" cm="1">
        <f t="array" ref="D19">(Table684[[#This Row],[Ιαν-21]]*(1+Table6[[#This Row],[Ιαν-21]]))/SUMPRODUCT(C$2:C$49,(1+'Monthly Returns'!C$2:C$49))</f>
        <v>2.1288943976174212E-2</v>
      </c>
      <c r="E19" s="107" cm="1">
        <f t="array" ref="E19">(Table684[[#This Row],[Φεβ-21]]*(1+Table6[[#This Row],[Φεβ-21]]))/SUMPRODUCT(D$2:D$49,(1+'Monthly Returns'!D$2:D$49))</f>
        <v>1.9939466299631E-2</v>
      </c>
      <c r="F19" s="107" cm="1">
        <f t="array" ref="F19">(Table684[[#This Row],[Μαρ-21]]*(1+Table6[[#This Row],[Μαρ-21]]))/SUMPRODUCT(E$2:E$49,(1+'Monthly Returns'!E$2:E$49))</f>
        <v>2.0844167265623947E-2</v>
      </c>
      <c r="G19" s="107" cm="1">
        <f t="array" ref="G19">(Table684[[#This Row],[Απρ-21]]*(1+Table6[[#This Row],[Απρ-21]]))/SUMPRODUCT(F$2:F$49,(1+'Monthly Returns'!F$2:F$49))</f>
        <v>2.1451551018206266E-2</v>
      </c>
      <c r="H19" s="109">
        <v>1.9661732573115362E-2</v>
      </c>
      <c r="I19" s="107" cm="1">
        <f t="array" ref="I19">(Table684[[#This Row],[Ιουν-21]]*(1+Table6[[#This Row],[Ιουν-21]]))/SUMPRODUCT(H$2:H$49,(1+'Monthly Returns'!H$2:H$49))</f>
        <v>1.9856743573210957E-2</v>
      </c>
      <c r="J19" s="107" cm="1">
        <f t="array" ref="J19">(Table684[[#This Row],[Ιουλ-21]]*(1+Table6[[#This Row],[Ιουλ-21]]))/SUMPRODUCT(I$2:I$49,(1+'Monthly Returns'!I$2:I$49))</f>
        <v>2.1108948099205386E-2</v>
      </c>
      <c r="K19" s="107" cm="1">
        <f t="array" ref="K19">(Table684[[#This Row],[Αυγ-21]]*(1+Table6[[#This Row],[Αυγ-21]]))/SUMPRODUCT(J$2:J$49,(1+'Monthly Returns'!J$2:J$49))</f>
        <v>2.0929439810816922E-2</v>
      </c>
      <c r="L19" s="107" cm="1">
        <f t="array" ref="L19">(Table684[[#This Row],[Σεπ-21]]*(1+Table6[[#This Row],[Σεπ-21]]))/SUMPRODUCT(K$2:K$49,(1+'Monthly Returns'!K$2:K$49))</f>
        <v>1.9835092489203298E-2</v>
      </c>
      <c r="M19" s="107" cm="1">
        <f t="array" ref="M19">(Table684[[#This Row],[Οκτ-21]]*(1+Table6[[#This Row],[Οκτ-21]]))/SUMPRODUCT(L$2:L$49,(1+'Monthly Returns'!L$2:L$49))</f>
        <v>1.870937182476929E-2</v>
      </c>
      <c r="N19" s="107" cm="1">
        <f t="array" ref="N19">(Table684[[#This Row],[Νοε-21]]*(1+Table6[[#This Row],[Νοε-21]]))/SUMPRODUCT(M$2:M$49,(1+'Monthly Returns'!M$2:M$49))</f>
        <v>2.0833029205598871E-2</v>
      </c>
      <c r="O19" s="109">
        <v>1.9661732573115362E-2</v>
      </c>
      <c r="P19" s="107" cm="1">
        <f t="array" ref="P19">(O19*(1+Table6[[#This Row],[Ιαν-22]]))/SUMPRODUCT(O$2:O$49,(1+'Monthly Returns'!O$2:O$49))</f>
        <v>1.7867759563592357E-2</v>
      </c>
      <c r="Q19" s="107" cm="1">
        <f t="array" ref="Q19">(P19*(1+Table6[[#This Row],[Φεβ-22]]))/SUMPRODUCT(P$2:P$49,(1+'Monthly Returns'!P$2:P$49))</f>
        <v>1.8446647565727326E-2</v>
      </c>
      <c r="R19" s="107" cm="1">
        <f t="array" ref="R19">(Q19*(1+Table6[[#This Row],[Μαρ-22]]))/SUMPRODUCT(Q$2:Q$49,(1+'Monthly Returns'!Q$2:Q$49))</f>
        <v>1.8197083313752086E-2</v>
      </c>
      <c r="S19" s="107" cm="1">
        <f t="array" ref="S19">(R19*(1+Table6[[#This Row],[Απρ-22]]))/SUMPRODUCT(R$2:R$49,(1+'Monthly Returns'!R$2:R$49))</f>
        <v>1.7640314271094554E-2</v>
      </c>
      <c r="T19" s="109">
        <v>1.9661732573115362E-2</v>
      </c>
      <c r="U19" s="107" cm="1">
        <f t="array" ref="U19">(T19*(1+Table6[[#This Row],[Ιουν-22]]))/SUMPRODUCT(T$2:T$49,(1+'Monthly Returns'!T$2:T$49))</f>
        <v>1.9034637136124154E-2</v>
      </c>
      <c r="V19" s="107" cm="1">
        <f t="array" ref="V19">(U19*(1+Table6[[#This Row],[Ιουλ-22]]))/SUMPRODUCT(U$2:U$49,(1+'Monthly Returns'!U$2:U$49))</f>
        <v>2.0863826685061492E-2</v>
      </c>
      <c r="W19" s="107" cm="1">
        <f t="array" ref="W19">(V19*(1+Table6[[#This Row],[Αυγ-22]]))/SUMPRODUCT(V$2:V$49,(1+'Monthly Returns'!V$2:V$49))</f>
        <v>2.0409825946692509E-2</v>
      </c>
      <c r="X19" s="107" cm="1">
        <f t="array" ref="X19">(W19*(1+Table6[[#This Row],[Σεπ-22]]))/SUMPRODUCT(W$2:W$49,(1+'Monthly Returns'!W$2:W$49))</f>
        <v>2.0970427119213573E-2</v>
      </c>
      <c r="Y19" s="107" cm="1">
        <f t="array" ref="Y19">(X19*(1+Table6[[#This Row],[Οκτ-22]]))/SUMPRODUCT(X$2:X$49,(1+'Monthly Returns'!X$2:X$49))</f>
        <v>2.125132424056032E-2</v>
      </c>
      <c r="Z19" s="107" cm="1">
        <f t="array" ref="Z19">(Y19*(1+Table6[[#This Row],[Νοε-22]]))/SUMPRODUCT(Y$2:Y$49,(1+'Monthly Returns'!Y$2:Y$49))</f>
        <v>2.0974963173629874E-2</v>
      </c>
      <c r="AA19" s="109">
        <v>1.9661732573115362E-2</v>
      </c>
      <c r="AB19" s="107" cm="1">
        <f t="array" ref="AB19">(AA19*(1+Table6[[#This Row],[Ιαν-23]]))/SUMPRODUCT(AA$2:AA$49,(1+'Monthly Returns'!AA$2:AA$49))</f>
        <v>2.0207271745272756E-2</v>
      </c>
      <c r="AC19" s="107" cm="1">
        <f t="array" ref="AC19">(AB19*(1+Table6[[#This Row],[Φεβ-23]]))/SUMPRODUCT(AB$2:AB$49,(1+'Monthly Returns'!AB$2:AB$49))</f>
        <v>1.961454075349486E-2</v>
      </c>
      <c r="AD19" s="107" cm="1">
        <f t="array" ref="AD19">(AC19*(1+Table6[[#This Row],[Μαρ-23]]))/SUMPRODUCT(AC$2:AC$49,(1+'Monthly Returns'!AC$2:AC$49))</f>
        <v>2.0175942156601807E-2</v>
      </c>
      <c r="AE19" s="107" cm="1">
        <f t="array" ref="AE19">(AD19*(1+Table6[[#This Row],[Απρ-23]]))/SUMPRODUCT(AD$2:AD$49,(1+'Monthly Returns'!AD$2:AD$49))</f>
        <v>2.0284949982342475E-2</v>
      </c>
      <c r="AF19" s="109">
        <v>1.9661732573115362E-2</v>
      </c>
      <c r="AG19" s="107" cm="1">
        <f t="array" ref="AG19">(AF19*(1+Table6[[#This Row],[Ιουν-23]]))/SUMPRODUCT(AF$2:AF$49,(1+'Monthly Returns'!AF$2:AF$49))</f>
        <v>2.0073230273623118E-2</v>
      </c>
      <c r="AH19" s="107" cm="1">
        <f t="array" ref="AH19">(AG19*(1+Table6[[#This Row],[Ιουλ-23]]))/SUMPRODUCT(AG$2:AG$49,(1+'Monthly Returns'!AG$2:AG$49))</f>
        <v>1.9889895302580063E-2</v>
      </c>
      <c r="AI19" s="107" cm="1">
        <f t="array" ref="AI19">(AH19*(1+Table6[[#This Row],[Αυγ-23]]))/SUMPRODUCT(AH$2:AH$49,(1+'Monthly Returns'!AH$2:AH$49))</f>
        <v>1.9595753987062949E-2</v>
      </c>
      <c r="AJ19" s="107" cm="1">
        <f t="array" ref="AJ19">(AI19*(1+Table6[[#This Row],[Σεπ-23]]))/SUMPRODUCT(AI$2:AI$49,(1+'Monthly Returns'!AI$2:AI$49))</f>
        <v>1.9155000568220285E-2</v>
      </c>
      <c r="AK19" s="107" cm="1">
        <f t="array" ref="AK19">(AJ19*(1+Table6[[#This Row],[Οκτ-23]]))/SUMPRODUCT(AJ$2:AJ$49,(1+'Monthly Returns'!AJ$2:AJ$49))</f>
        <v>1.8602706891012254E-2</v>
      </c>
      <c r="AL19" s="107" cm="1">
        <f t="array" ref="AL19">(AK19*(1+Table6[[#This Row],[Νοε-23]]))/SUMPRODUCT(AK$2:AK$49,(1+'Monthly Returns'!AK$2:AK$49))</f>
        <v>1.9686787809212559E-2</v>
      </c>
      <c r="AM19" s="109">
        <v>1.9661732573115362E-2</v>
      </c>
      <c r="AN19" s="107" cm="1">
        <f t="array" ref="AN19">(AM19*(1+Table6[[#This Row],[Ιαν-24]]))/SUMPRODUCT(AM$2:AM$49,(1+'Monthly Returns'!AM$2:AM$49))</f>
        <v>1.8925628208472784E-2</v>
      </c>
      <c r="AO19" s="107" cm="1">
        <f t="array" ref="AO19">(AN19*(1+Table6[[#This Row],[Φεβ-24]]))/SUMPRODUCT(AN$2:AN$49,(1+'Monthly Returns'!AN$2:AN$49))</f>
        <v>1.9838656062400737E-2</v>
      </c>
      <c r="AP19" s="107" cm="1">
        <f t="array" ref="AP19">(AO19*(1+Table6[[#This Row],[Μαρ-24]]))/SUMPRODUCT(AO$2:AO$49,(1+'Monthly Returns'!AO$2:AO$49))</f>
        <v>1.936982169622058E-2</v>
      </c>
      <c r="AQ19" s="107" cm="1">
        <f t="array" ref="AQ19">(AP19*(1+Table6[[#This Row],[Απρ-24]]))/SUMPRODUCT(AP$2:AP$49,(1+'Monthly Returns'!AP$2:AP$49))</f>
        <v>2.0654824787934126E-2</v>
      </c>
      <c r="AR19" s="109">
        <v>1.9661732573115362E-2</v>
      </c>
      <c r="AS19" s="107" cm="1">
        <f t="array" ref="AS19">(AR19*(1+Table6[[#This Row],[Ιουν-24]]))/SUMPRODUCT(AR$2:AR$49,(1+'Monthly Returns'!AR$2:AR$49))</f>
        <v>2.0455709320757388E-2</v>
      </c>
      <c r="AT19" s="107" cm="1">
        <f t="array" ref="AT19">(AS19*(1+Table6[[#This Row],[Ιουλ-24]]))/SUMPRODUCT(AS$2:AS$49,(1+'Monthly Returns'!AS$2:AS$49))</f>
        <v>1.9671694891690593E-2</v>
      </c>
      <c r="AU19" s="107" cm="1">
        <f t="array" ref="AU19">(AT19*(1+Table6[[#This Row],[Αυγ-24]]))/SUMPRODUCT(AT$2:AT$49,(1+'Monthly Returns'!AT$2:AT$49))</f>
        <v>1.9328509898381016E-2</v>
      </c>
      <c r="AV19" s="107" cm="1">
        <f t="array" ref="AV19">(AU19*(1+Table6[[#This Row],[Σεπ-24]]))/SUMPRODUCT(AU$2:AU$49,(1+'Monthly Returns'!AU$2:AU$49))</f>
        <v>1.9446600661510265E-2</v>
      </c>
      <c r="AW19" s="107" cm="1">
        <f t="array" ref="AW19">(AV19*(1+Table6[[#This Row],[Οκτ-24]]))/SUMPRODUCT(AV$2:AV$49,(1+'Monthly Returns'!AV$2:AV$49))</f>
        <v>1.9480121322543155E-2</v>
      </c>
      <c r="AX19" s="107" cm="1">
        <f t="array" ref="AX19">(AW19*(1+Table6[[#This Row],[Νοε-24]]))/SUMPRODUCT(AW$2:AW$49,(1+'Monthly Returns'!AW$2:AW$49))</f>
        <v>2.0270210028206455E-2</v>
      </c>
      <c r="AY19" s="109">
        <v>1.9661732573115362E-2</v>
      </c>
      <c r="AZ19" s="107" cm="1">
        <f t="array" ref="AZ19">(AY19*(1+Table6[[#This Row],[Ιαν-25]]))/SUMPRODUCT(AY$2:AY$49,(1+'Monthly Returns'!AY$2:AY$49))</f>
        <v>1.8491062309831455E-2</v>
      </c>
      <c r="BA19" s="107" cm="1">
        <f t="array" ref="BA19">(AZ19*(1+Table6[[#This Row],[Φεβ-25]]))/SUMPRODUCT(AZ$2:AZ$49,(1+'Monthly Returns'!AZ$2:AZ$49))</f>
        <v>1.7183627250906497E-2</v>
      </c>
      <c r="BB19" s="107" cm="1">
        <f t="array" ref="BB19">(BA19*(1+Table6[[#This Row],[Μαρ-25]]))/SUMPRODUCT(BA$2:BA$49,(1+'Monthly Returns'!BA$2:BA$49))</f>
        <v>1.6452223247833846E-2</v>
      </c>
      <c r="BC19" s="107" cm="1">
        <f t="array" ref="BC19">(BB19*(1+Table6[[#This Row],[Απρ-25]]))/SUMPRODUCT(BB$2:BB$49,(1+'Monthly Returns'!BB$2:BB$49))</f>
        <v>1.5968351414004631E-2</v>
      </c>
      <c r="BD19" s="109">
        <v>1.9661732573115362E-2</v>
      </c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</row>
    <row r="20" spans="1:92">
      <c r="A20" s="110" t="s">
        <v>160</v>
      </c>
      <c r="B20" s="110" t="s">
        <v>161</v>
      </c>
      <c r="C20" s="109">
        <v>1.9091827281141005E-2</v>
      </c>
      <c r="D20" s="107" cm="1">
        <f t="array" ref="D20">(Table684[[#This Row],[Ιαν-21]]*(1+Table6[[#This Row],[Ιαν-21]]))/SUMPRODUCT(C$2:C$49,(1+'Monthly Returns'!C$2:C$49))</f>
        <v>1.9521183270848858E-2</v>
      </c>
      <c r="E20" s="107" cm="1">
        <f t="array" ref="E20">(Table684[[#This Row],[Φεβ-21]]*(1+Table6[[#This Row],[Φεβ-21]]))/SUMPRODUCT(D$2:D$49,(1+'Monthly Returns'!D$2:D$49))</f>
        <v>1.778478952943403E-2</v>
      </c>
      <c r="F20" s="107" cm="1">
        <f t="array" ref="F20">(Table684[[#This Row],[Μαρ-21]]*(1+Table6[[#This Row],[Μαρ-21]]))/SUMPRODUCT(E$2:E$49,(1+'Monthly Returns'!E$2:E$49))</f>
        <v>1.7310860588312178E-2</v>
      </c>
      <c r="G20" s="107" cm="1">
        <f t="array" ref="G20">(Table684[[#This Row],[Απρ-21]]*(1+Table6[[#This Row],[Απρ-21]]))/SUMPRODUCT(F$2:F$49,(1+'Monthly Returns'!F$2:F$49))</f>
        <v>1.7080003704032957E-2</v>
      </c>
      <c r="H20" s="109">
        <v>1.9091827281141005E-2</v>
      </c>
      <c r="I20" s="107" cm="1">
        <f t="array" ref="I20">(Table684[[#This Row],[Ιουν-21]]*(1+Table6[[#This Row],[Ιουν-21]]))/SUMPRODUCT(H$2:H$49,(1+'Monthly Returns'!H$2:H$49))</f>
        <v>1.8386397406368809E-2</v>
      </c>
      <c r="J20" s="107" cm="1">
        <f t="array" ref="J20">(Table684[[#This Row],[Ιουλ-21]]*(1+Table6[[#This Row],[Ιουλ-21]]))/SUMPRODUCT(I$2:I$49,(1+'Monthly Returns'!I$2:I$49))</f>
        <v>1.7665525209095857E-2</v>
      </c>
      <c r="K20" s="107" cm="1">
        <f t="array" ref="K20">(Table684[[#This Row],[Αυγ-21]]*(1+Table6[[#This Row],[Αυγ-21]]))/SUMPRODUCT(J$2:J$49,(1+'Monthly Returns'!J$2:J$49))</f>
        <v>1.7573821459393232E-2</v>
      </c>
      <c r="L20" s="107" cm="1">
        <f t="array" ref="L20">(Table684[[#This Row],[Σεπ-21]]*(1+Table6[[#This Row],[Σεπ-21]]))/SUMPRODUCT(K$2:K$49,(1+'Monthly Returns'!K$2:K$49))</f>
        <v>1.8340390491323508E-2</v>
      </c>
      <c r="M20" s="107" cm="1">
        <f t="array" ref="M20">(Table684[[#This Row],[Οκτ-21]]*(1+Table6[[#This Row],[Οκτ-21]]))/SUMPRODUCT(L$2:L$49,(1+'Monthly Returns'!L$2:L$49))</f>
        <v>1.7504798996448266E-2</v>
      </c>
      <c r="N20" s="107" cm="1">
        <f t="array" ref="N20">(Table684[[#This Row],[Νοε-21]]*(1+Table6[[#This Row],[Νοε-21]]))/SUMPRODUCT(M$2:M$49,(1+'Monthly Returns'!M$2:M$49))</f>
        <v>1.6877650555701593E-2</v>
      </c>
      <c r="O20" s="109">
        <v>1.9091827281141005E-2</v>
      </c>
      <c r="P20" s="107" cm="1">
        <f t="array" ref="P20">(O20*(1+Table6[[#This Row],[Ιαν-22]]))/SUMPRODUCT(O$2:O$49,(1+'Monthly Returns'!O$2:O$49))</f>
        <v>2.1420618225839076E-2</v>
      </c>
      <c r="Q20" s="107" cm="1">
        <f t="array" ref="Q20">(P20*(1+Table6[[#This Row],[Φεβ-22]]))/SUMPRODUCT(P$2:P$49,(1+'Monthly Returns'!P$2:P$49))</f>
        <v>3.3653928043957039E-2</v>
      </c>
      <c r="R20" s="107" cm="1">
        <f t="array" ref="R20">(Q20*(1+Table6[[#This Row],[Μαρ-22]]))/SUMPRODUCT(Q$2:Q$49,(1+'Monthly Returns'!Q$2:Q$49))</f>
        <v>4.503609758780229E-2</v>
      </c>
      <c r="S20" s="107" cm="1">
        <f t="array" ref="S20">(R20*(1+Table6[[#This Row],[Απρ-22]]))/SUMPRODUCT(R$2:R$49,(1+'Monthly Returns'!R$2:R$49))</f>
        <v>5.0642020109605064E-2</v>
      </c>
      <c r="T20" s="109">
        <v>1.9091827281141005E-2</v>
      </c>
      <c r="U20" s="107" cm="1">
        <f t="array" ref="U20">(T20*(1+Table6[[#This Row],[Ιουν-22]]))/SUMPRODUCT(T$2:T$49,(1+'Monthly Returns'!T$2:T$49))</f>
        <v>2.4275532910988339E-2</v>
      </c>
      <c r="V20" s="107" cm="1">
        <f t="array" ref="V20">(U20*(1+Table6[[#This Row],[Ιουλ-22]]))/SUMPRODUCT(U$2:U$49,(1+'Monthly Returns'!U$2:U$49))</f>
        <v>1.8478346644910815E-2</v>
      </c>
      <c r="W20" s="107" cm="1">
        <f t="array" ref="W20">(V20*(1+Table6[[#This Row],[Αυγ-22]]))/SUMPRODUCT(V$2:V$49,(1+'Monthly Returns'!V$2:V$49))</f>
        <v>1.7052004711197093E-2</v>
      </c>
      <c r="X20" s="107" cm="1">
        <f t="array" ref="X20">(W20*(1+Table6[[#This Row],[Σεπ-22]]))/SUMPRODUCT(W$2:W$49,(1+'Monthly Returns'!W$2:W$49))</f>
        <v>1.8054731141719314E-2</v>
      </c>
      <c r="Y20" s="107" cm="1">
        <f t="array" ref="Y20">(X20*(1+Table6[[#This Row],[Οκτ-22]]))/SUMPRODUCT(X$2:X$49,(1+'Monthly Returns'!X$2:X$49))</f>
        <v>1.7627698325209936E-2</v>
      </c>
      <c r="Z20" s="107" cm="1">
        <f t="array" ref="Z20">(Y20*(1+Table6[[#This Row],[Νοε-22]]))/SUMPRODUCT(Y$2:Y$49,(1+'Monthly Returns'!Y$2:Y$49))</f>
        <v>1.9363251271483386E-2</v>
      </c>
      <c r="AA20" s="109">
        <v>1.9091827281141005E-2</v>
      </c>
      <c r="AB20" s="107" cm="1">
        <f t="array" ref="AB20">(AA20*(1+Table6[[#This Row],[Ιαν-23]]))/SUMPRODUCT(AA$2:AA$49,(1+'Monthly Returns'!AA$2:AA$49))</f>
        <v>2.0250045674669735E-2</v>
      </c>
      <c r="AC20" s="107" cm="1">
        <f t="array" ref="AC20">(AB20*(1+Table6[[#This Row],[Φεβ-23]]))/SUMPRODUCT(AB$2:AB$49,(1+'Monthly Returns'!AB$2:AB$49))</f>
        <v>2.2208820920860579E-2</v>
      </c>
      <c r="AD20" s="107" cm="1">
        <f t="array" ref="AD20">(AC20*(1+Table6[[#This Row],[Μαρ-23]]))/SUMPRODUCT(AC$2:AC$49,(1+'Monthly Returns'!AC$2:AC$49))</f>
        <v>2.5237516163182473E-2</v>
      </c>
      <c r="AE20" s="107" cm="1">
        <f t="array" ref="AE20">(AD20*(1+Table6[[#This Row],[Απρ-23]]))/SUMPRODUCT(AD$2:AD$49,(1+'Monthly Returns'!AD$2:AD$49))</f>
        <v>2.3679332551846288E-2</v>
      </c>
      <c r="AF20" s="109">
        <v>1.9091827281141005E-2</v>
      </c>
      <c r="AG20" s="107" cm="1">
        <f t="array" ref="AG20">(AF20*(1+Table6[[#This Row],[Ιουν-23]]))/SUMPRODUCT(AF$2:AF$49,(1+'Monthly Returns'!AF$2:AF$49))</f>
        <v>1.9654257650794812E-2</v>
      </c>
      <c r="AH20" s="107" cm="1">
        <f t="array" ref="AH20">(AG20*(1+Table6[[#This Row],[Ιουλ-23]]))/SUMPRODUCT(AG$2:AG$49,(1+'Monthly Returns'!AG$2:AG$49))</f>
        <v>1.9794386261869183E-2</v>
      </c>
      <c r="AI20" s="107" cm="1">
        <f t="array" ref="AI20">(AH20*(1+Table6[[#This Row],[Αυγ-23]]))/SUMPRODUCT(AH$2:AH$49,(1+'Monthly Returns'!AH$2:AH$49))</f>
        <v>1.9715540016425399E-2</v>
      </c>
      <c r="AJ20" s="107" cm="1">
        <f t="array" ref="AJ20">(AI20*(1+Table6[[#This Row],[Σεπ-23]]))/SUMPRODUCT(AI$2:AI$49,(1+'Monthly Returns'!AI$2:AI$49))</f>
        <v>1.9436178263131838E-2</v>
      </c>
      <c r="AK20" s="107" cm="1">
        <f t="array" ref="AK20">(AJ20*(1+Table6[[#This Row],[Οκτ-23]]))/SUMPRODUCT(AJ$2:AJ$49,(1+'Monthly Returns'!AJ$2:AJ$49))</f>
        <v>2.239690980495776E-2</v>
      </c>
      <c r="AL20" s="107" cm="1">
        <f t="array" ref="AL20">(AK20*(1+Table6[[#This Row],[Νοε-23]]))/SUMPRODUCT(AK$2:AK$49,(1+'Monthly Returns'!AK$2:AK$49))</f>
        <v>2.1037878158166542E-2</v>
      </c>
      <c r="AM20" s="109">
        <v>1.9091827281141005E-2</v>
      </c>
      <c r="AN20" s="107" cm="1">
        <f t="array" ref="AN20">(AM20*(1+Table6[[#This Row],[Ιαν-24]]))/SUMPRODUCT(AM$2:AM$49,(1+'Monthly Returns'!AM$2:AM$49))</f>
        <v>2.1228121785215975E-2</v>
      </c>
      <c r="AO20" s="107" cm="1">
        <f t="array" ref="AO20">(AN20*(1+Table6[[#This Row],[Φεβ-24]]))/SUMPRODUCT(AN$2:AN$49,(1+'Monthly Returns'!AN$2:AN$49))</f>
        <v>2.6870925485495453E-2</v>
      </c>
      <c r="AP20" s="107" cm="1">
        <f t="array" ref="AP20">(AO20*(1+Table6[[#This Row],[Μαρ-24]]))/SUMPRODUCT(AO$2:AO$49,(1+'Monthly Returns'!AO$2:AO$49))</f>
        <v>3.1140808499699427E-2</v>
      </c>
      <c r="AQ20" s="107" cm="1">
        <f t="array" ref="AQ20">(AP20*(1+Table6[[#This Row],[Απρ-24]]))/SUMPRODUCT(AP$2:AP$49,(1+'Monthly Returns'!AP$2:AP$49))</f>
        <v>3.0934666729025673E-2</v>
      </c>
      <c r="AR20" s="109">
        <v>1.9091827281141005E-2</v>
      </c>
      <c r="AS20" s="107" cm="1">
        <f t="array" ref="AS20">(AR20*(1+Table6[[#This Row],[Ιουν-24]]))/SUMPRODUCT(AR$2:AR$49,(1+'Monthly Returns'!AR$2:AR$49))</f>
        <v>1.7399981932488307E-2</v>
      </c>
      <c r="AT20" s="107" cm="1">
        <f t="array" ref="AT20">(AS20*(1+Table6[[#This Row],[Ιουλ-24]]))/SUMPRODUCT(AS$2:AS$49,(1+'Monthly Returns'!AS$2:AS$49))</f>
        <v>1.7968686734107023E-2</v>
      </c>
      <c r="AU20" s="107" cm="1">
        <f t="array" ref="AU20">(AT20*(1+Table6[[#This Row],[Αυγ-24]]))/SUMPRODUCT(AT$2:AT$49,(1+'Monthly Returns'!AT$2:AT$49))</f>
        <v>1.8787090697043804E-2</v>
      </c>
      <c r="AV20" s="107" cm="1">
        <f t="array" ref="AV20">(AU20*(1+Table6[[#This Row],[Σεπ-24]]))/SUMPRODUCT(AU$2:AU$49,(1+'Monthly Returns'!AU$2:AU$49))</f>
        <v>1.6846341791246788E-2</v>
      </c>
      <c r="AW20" s="107" cm="1">
        <f t="array" ref="AW20">(AV20*(1+Table6[[#This Row],[Οκτ-24]]))/SUMPRODUCT(AV$2:AV$49,(1+'Monthly Returns'!AV$2:AV$49))</f>
        <v>1.6842642694278046E-2</v>
      </c>
      <c r="AX20" s="107" cm="1">
        <f t="array" ref="AX20">(AW20*(1+Table6[[#This Row],[Νοε-24]]))/SUMPRODUCT(AW$2:AW$49,(1+'Monthly Returns'!AW$2:AW$49))</f>
        <v>2.1732271561291493E-2</v>
      </c>
      <c r="AY20" s="109">
        <v>1.9091827281141005E-2</v>
      </c>
      <c r="AZ20" s="107" cm="1">
        <f t="array" ref="AZ20">(AY20*(1+Table6[[#This Row],[Ιαν-25]]))/SUMPRODUCT(AY$2:AY$49,(1+'Monthly Returns'!AY$2:AY$49))</f>
        <v>2.1733427822799078E-2</v>
      </c>
      <c r="BA20" s="107" cm="1">
        <f t="array" ref="BA20">(AZ20*(1+Table6[[#This Row],[Φεβ-25]]))/SUMPRODUCT(AZ$2:AZ$49,(1+'Monthly Returns'!AZ$2:AZ$49))</f>
        <v>2.8748117006785173E-2</v>
      </c>
      <c r="BB20" s="107" cm="1">
        <f t="array" ref="BB20">(BA20*(1+Table6[[#This Row],[Μαρ-25]]))/SUMPRODUCT(BA$2:BA$49,(1+'Monthly Returns'!BA$2:BA$49))</f>
        <v>3.719731256836304E-2</v>
      </c>
      <c r="BC20" s="107" cm="1">
        <f t="array" ref="BC20">(BB20*(1+Table6[[#This Row],[Απρ-25]]))/SUMPRODUCT(BB$2:BB$49,(1+'Monthly Returns'!BB$2:BB$49))</f>
        <v>4.1618481202559052E-2</v>
      </c>
      <c r="BD20" s="109">
        <v>1.9091827281141005E-2</v>
      </c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</row>
    <row r="21" spans="1:92">
      <c r="A21" s="110" t="s">
        <v>165</v>
      </c>
      <c r="B21" s="110" t="s">
        <v>166</v>
      </c>
      <c r="C21" s="109">
        <v>9.68838996356409E-3</v>
      </c>
      <c r="D21" s="107" cm="1">
        <f t="array" ref="D21">(Table684[[#This Row],[Ιαν-21]]*(1+Table6[[#This Row],[Ιαν-21]]))/SUMPRODUCT(C$2:C$49,(1+'Monthly Returns'!C$2:C$49))</f>
        <v>1.0385370817971157E-2</v>
      </c>
      <c r="E21" s="107" cm="1">
        <f t="array" ref="E21">(Table684[[#This Row],[Φεβ-21]]*(1+Table6[[#This Row],[Φεβ-21]]))/SUMPRODUCT(D$2:D$49,(1+'Monthly Returns'!D$2:D$49))</f>
        <v>1.0397681035172003E-2</v>
      </c>
      <c r="F21" s="107" cm="1">
        <f t="array" ref="F21">(Table684[[#This Row],[Μαρ-21]]*(1+Table6[[#This Row],[Μαρ-21]]))/SUMPRODUCT(E$2:E$49,(1+'Monthly Returns'!E$2:E$49))</f>
        <v>9.8868940092558307E-3</v>
      </c>
      <c r="G21" s="107" cm="1">
        <f t="array" ref="G21">(Table684[[#This Row],[Απρ-21]]*(1+Table6[[#This Row],[Απρ-21]]))/SUMPRODUCT(F$2:F$49,(1+'Monthly Returns'!F$2:F$49))</f>
        <v>9.8337830764956297E-3</v>
      </c>
      <c r="H21" s="109">
        <v>9.68838996356409E-3</v>
      </c>
      <c r="I21" s="107" cm="1">
        <f t="array" ref="I21">(Table684[[#This Row],[Ιουν-21]]*(1+Table6[[#This Row],[Ιουν-21]]))/SUMPRODUCT(H$2:H$49,(1+'Monthly Returns'!H$2:H$49))</f>
        <v>9.4601454002118356E-3</v>
      </c>
      <c r="J21" s="107" cm="1">
        <f t="array" ref="J21">(Table684[[#This Row],[Ιουλ-21]]*(1+Table6[[#This Row],[Ιουλ-21]]))/SUMPRODUCT(I$2:I$49,(1+'Monthly Returns'!I$2:I$49))</f>
        <v>9.1452746702038578E-3</v>
      </c>
      <c r="K21" s="107" cm="1">
        <f t="array" ref="K21">(Table684[[#This Row],[Αυγ-21]]*(1+Table6[[#This Row],[Αυγ-21]]))/SUMPRODUCT(J$2:J$49,(1+'Monthly Returns'!J$2:J$49))</f>
        <v>8.5854366220248883E-3</v>
      </c>
      <c r="L21" s="107" cm="1">
        <f t="array" ref="L21">(Table684[[#This Row],[Σεπ-21]]*(1+Table6[[#This Row],[Σεπ-21]]))/SUMPRODUCT(K$2:K$49,(1+'Monthly Returns'!K$2:K$49))</f>
        <v>8.9116005323127377E-3</v>
      </c>
      <c r="M21" s="107" cm="1">
        <f t="array" ref="M21">(Table684[[#This Row],[Οκτ-21]]*(1+Table6[[#This Row],[Οκτ-21]]))/SUMPRODUCT(L$2:L$49,(1+'Monthly Returns'!L$2:L$49))</f>
        <v>8.8389549195312823E-3</v>
      </c>
      <c r="N21" s="107" cm="1">
        <f t="array" ref="N21">(Table684[[#This Row],[Νοε-21]]*(1+Table6[[#This Row],[Νοε-21]]))/SUMPRODUCT(M$2:M$49,(1+'Monthly Returns'!M$2:M$49))</f>
        <v>8.7228038855182849E-3</v>
      </c>
      <c r="O21" s="109">
        <v>9.68838996356409E-3</v>
      </c>
      <c r="P21" s="107" cm="1">
        <f t="array" ref="P21">(O21*(1+Table6[[#This Row],[Ιαν-22]]))/SUMPRODUCT(O$2:O$49,(1+'Monthly Returns'!O$2:O$49))</f>
        <v>9.5001563290809336E-3</v>
      </c>
      <c r="Q21" s="107" cm="1">
        <f t="array" ref="Q21">(P21*(1+Table6[[#This Row],[Φεβ-22]]))/SUMPRODUCT(P$2:P$49,(1+'Monthly Returns'!P$2:P$49))</f>
        <v>8.5725947410667473E-3</v>
      </c>
      <c r="R21" s="107" cm="1">
        <f t="array" ref="R21">(Q21*(1+Table6[[#This Row],[Μαρ-22]]))/SUMPRODUCT(Q$2:Q$49,(1+'Monthly Returns'!Q$2:Q$49))</f>
        <v>8.3071583908089601E-3</v>
      </c>
      <c r="S21" s="107" cm="1">
        <f t="array" ref="S21">(R21*(1+Table6[[#This Row],[Απρ-22]]))/SUMPRODUCT(R$2:R$49,(1+'Monthly Returns'!R$2:R$49))</f>
        <v>8.0258065188385779E-3</v>
      </c>
      <c r="T21" s="109">
        <v>9.68838996356409E-3</v>
      </c>
      <c r="U21" s="107" cm="1">
        <f t="array" ref="U21">(T21*(1+Table6[[#This Row],[Ιουν-22]]))/SUMPRODUCT(T$2:T$49,(1+'Monthly Returns'!T$2:T$49))</f>
        <v>9.5340437119281786E-3</v>
      </c>
      <c r="V21" s="107" cm="1">
        <f t="array" ref="V21">(U21*(1+Table6[[#This Row],[Ιουλ-22]]))/SUMPRODUCT(U$2:U$49,(1+'Monthly Returns'!U$2:U$49))</f>
        <v>1.0620898655469913E-2</v>
      </c>
      <c r="W21" s="107" cm="1">
        <f t="array" ref="W21">(V21*(1+Table6[[#This Row],[Αυγ-22]]))/SUMPRODUCT(V$2:V$49,(1+'Monthly Returns'!V$2:V$49))</f>
        <v>1.0117813725589639E-2</v>
      </c>
      <c r="X21" s="107" cm="1">
        <f t="array" ref="X21">(W21*(1+Table6[[#This Row],[Σεπ-22]]))/SUMPRODUCT(W$2:W$49,(1+'Monthly Returns'!W$2:W$49))</f>
        <v>9.8149792046649652E-3</v>
      </c>
      <c r="Y21" s="107" cm="1">
        <f t="array" ref="Y21">(X21*(1+Table6[[#This Row],[Οκτ-22]]))/SUMPRODUCT(X$2:X$49,(1+'Monthly Returns'!X$2:X$49))</f>
        <v>1.0412390099719643E-2</v>
      </c>
      <c r="Z21" s="107" cm="1">
        <f t="array" ref="Z21">(Y21*(1+Table6[[#This Row],[Νοε-22]]))/SUMPRODUCT(Y$2:Y$49,(1+'Monthly Returns'!Y$2:Y$49))</f>
        <v>1.021803655020098E-2</v>
      </c>
      <c r="AA21" s="109">
        <v>9.68838996356409E-3</v>
      </c>
      <c r="AB21" s="107" cm="1">
        <f t="array" ref="AB21">(AA21*(1+Table6[[#This Row],[Ιαν-23]]))/SUMPRODUCT(AA$2:AA$49,(1+'Monthly Returns'!AA$2:AA$49))</f>
        <v>9.5689748199051863E-3</v>
      </c>
      <c r="AC21" s="107" cm="1">
        <f t="array" ref="AC21">(AB21*(1+Table6[[#This Row],[Φεβ-23]]))/SUMPRODUCT(AB$2:AB$49,(1+'Monthly Returns'!AB$2:AB$49))</f>
        <v>9.8035250350929394E-3</v>
      </c>
      <c r="AD21" s="107" cm="1">
        <f t="array" ref="AD21">(AC21*(1+Table6[[#This Row],[Μαρ-23]]))/SUMPRODUCT(AC$2:AC$49,(1+'Monthly Returns'!AC$2:AC$49))</f>
        <v>9.7814680645205414E-3</v>
      </c>
      <c r="AE21" s="107" cm="1">
        <f t="array" ref="AE21">(AD21*(1+Table6[[#This Row],[Απρ-23]]))/SUMPRODUCT(AD$2:AD$49,(1+'Monthly Returns'!AD$2:AD$49))</f>
        <v>9.9837534219944322E-3</v>
      </c>
      <c r="AF21" s="109">
        <v>9.68838996356409E-3</v>
      </c>
      <c r="AG21" s="107" cm="1">
        <f t="array" ref="AG21">(AF21*(1+Table6[[#This Row],[Ιουν-23]]))/SUMPRODUCT(AF$2:AF$49,(1+'Monthly Returns'!AF$2:AF$49))</f>
        <v>1.0325045524969073E-2</v>
      </c>
      <c r="AH21" s="107" cm="1">
        <f t="array" ref="AH21">(AG21*(1+Table6[[#This Row],[Ιουλ-23]]))/SUMPRODUCT(AG$2:AG$49,(1+'Monthly Returns'!AG$2:AG$49))</f>
        <v>1.0714261166912195E-2</v>
      </c>
      <c r="AI21" s="107" cm="1">
        <f t="array" ref="AI21">(AH21*(1+Table6[[#This Row],[Αυγ-23]]))/SUMPRODUCT(AH$2:AH$49,(1+'Monthly Returns'!AH$2:AH$49))</f>
        <v>1.0144065813020348E-2</v>
      </c>
      <c r="AJ21" s="107" cm="1">
        <f t="array" ref="AJ21">(AI21*(1+Table6[[#This Row],[Σεπ-23]]))/SUMPRODUCT(AI$2:AI$49,(1+'Monthly Returns'!AI$2:AI$49))</f>
        <v>1.0799283726529378E-2</v>
      </c>
      <c r="AK21" s="107" cm="1">
        <f t="array" ref="AK21">(AJ21*(1+Table6[[#This Row],[Οκτ-23]]))/SUMPRODUCT(AJ$2:AJ$49,(1+'Monthly Returns'!AJ$2:AJ$49))</f>
        <v>1.0748618134790527E-2</v>
      </c>
      <c r="AL21" s="107" cm="1">
        <f t="array" ref="AL21">(AK21*(1+Table6[[#This Row],[Νοε-23]]))/SUMPRODUCT(AK$2:AK$49,(1+'Monthly Returns'!AK$2:AK$49))</f>
        <v>1.12712481582204E-2</v>
      </c>
      <c r="AM21" s="109">
        <v>9.68838996356409E-3</v>
      </c>
      <c r="AN21" s="107" cm="1">
        <f t="array" ref="AN21">(AM21*(1+Table6[[#This Row],[Ιαν-24]]))/SUMPRODUCT(AM$2:AM$49,(1+'Monthly Returns'!AM$2:AM$49))</f>
        <v>8.9904010610636735E-3</v>
      </c>
      <c r="AO21" s="107" cm="1">
        <f t="array" ref="AO21">(AN21*(1+Table6[[#This Row],[Φεβ-24]]))/SUMPRODUCT(AN$2:AN$49,(1+'Monthly Returns'!AN$2:AN$49))</f>
        <v>9.9368245708541161E-3</v>
      </c>
      <c r="AP21" s="107" cm="1">
        <f t="array" ref="AP21">(AO21*(1+Table6[[#This Row],[Μαρ-24]]))/SUMPRODUCT(AO$2:AO$49,(1+'Monthly Returns'!AO$2:AO$49))</f>
        <v>9.8611510541512081E-3</v>
      </c>
      <c r="AQ21" s="107" cm="1">
        <f t="array" ref="AQ21">(AP21*(1+Table6[[#This Row],[Απρ-24]]))/SUMPRODUCT(AP$2:AP$49,(1+'Monthly Returns'!AP$2:AP$49))</f>
        <v>9.4875288345206595E-3</v>
      </c>
      <c r="AR21" s="109">
        <v>9.68838996356409E-3</v>
      </c>
      <c r="AS21" s="107" cm="1">
        <f t="array" ref="AS21">(AR21*(1+Table6[[#This Row],[Ιουν-24]]))/SUMPRODUCT(AR$2:AR$49,(1+'Monthly Returns'!AR$2:AR$49))</f>
        <v>9.4826695628865941E-3</v>
      </c>
      <c r="AT21" s="107" cm="1">
        <f t="array" ref="AT21">(AS21*(1+Table6[[#This Row],[Ιουλ-24]]))/SUMPRODUCT(AS$2:AS$49,(1+'Monthly Returns'!AS$2:AS$49))</f>
        <v>9.1201458038316589E-3</v>
      </c>
      <c r="AU21" s="107" cm="1">
        <f t="array" ref="AU21">(AT21*(1+Table6[[#This Row],[Αυγ-24]]))/SUMPRODUCT(AT$2:AT$49,(1+'Monthly Returns'!AT$2:AT$49))</f>
        <v>9.0294101574548754E-3</v>
      </c>
      <c r="AV21" s="107" cm="1">
        <f t="array" ref="AV21">(AU21*(1+Table6[[#This Row],[Σεπ-24]]))/SUMPRODUCT(AU$2:AU$49,(1+'Monthly Returns'!AU$2:AU$49))</f>
        <v>8.9346723002158984E-3</v>
      </c>
      <c r="AW21" s="107" cm="1">
        <f t="array" ref="AW21">(AV21*(1+Table6[[#This Row],[Οκτ-24]]))/SUMPRODUCT(AV$2:AV$49,(1+'Monthly Returns'!AV$2:AV$49))</f>
        <v>9.1785313175107627E-3</v>
      </c>
      <c r="AX21" s="107" cm="1">
        <f t="array" ref="AX21">(AW21*(1+Table6[[#This Row],[Νοε-24]]))/SUMPRODUCT(AW$2:AW$49,(1+'Monthly Returns'!AW$2:AW$49))</f>
        <v>8.9143811918747529E-3</v>
      </c>
      <c r="AY21" s="109">
        <v>9.68838996356409E-3</v>
      </c>
      <c r="AZ21" s="107" cm="1">
        <f t="array" ref="AZ21">(AY21*(1+Table6[[#This Row],[Ιαν-25]]))/SUMPRODUCT(AY$2:AY$49,(1+'Monthly Returns'!AY$2:AY$49))</f>
        <v>1.0245754292067292E-2</v>
      </c>
      <c r="BA21" s="107" cm="1">
        <f t="array" ref="BA21">(AZ21*(1+Table6[[#This Row],[Φεβ-25]]))/SUMPRODUCT(AZ$2:AZ$49,(1+'Monthly Returns'!AZ$2:AZ$49))</f>
        <v>1.0912583715335607E-2</v>
      </c>
      <c r="BB21" s="107" cm="1">
        <f t="array" ref="BB21">(BA21*(1+Table6[[#This Row],[Μαρ-25]]))/SUMPRODUCT(BA$2:BA$49,(1+'Monthly Returns'!BA$2:BA$49))</f>
        <v>1.0093095000176765E-2</v>
      </c>
      <c r="BC21" s="107" cm="1">
        <f t="array" ref="BC21">(BB21*(1+Table6[[#This Row],[Απρ-25]]))/SUMPRODUCT(BB$2:BB$49,(1+'Monthly Returns'!BB$2:BB$49))</f>
        <v>9.4867363340757176E-3</v>
      </c>
      <c r="BD21" s="109">
        <v>9.68838996356409E-3</v>
      </c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</row>
    <row r="22" spans="1:92">
      <c r="A22" s="110" t="s">
        <v>173</v>
      </c>
      <c r="B22" s="110" t="s">
        <v>174</v>
      </c>
      <c r="C22" s="109">
        <v>6.8388635036922994E-3</v>
      </c>
      <c r="D22" s="107" cm="1">
        <f t="array" ref="D22">(Table684[[#This Row],[Ιαν-21]]*(1+Table6[[#This Row],[Ιαν-21]]))/SUMPRODUCT(C$2:C$49,(1+'Monthly Returns'!C$2:C$49))</f>
        <v>7.1904572959675551E-3</v>
      </c>
      <c r="E22" s="107" cm="1">
        <f t="array" ref="E22">(Table684[[#This Row],[Φεβ-21]]*(1+Table6[[#This Row],[Φεβ-21]]))/SUMPRODUCT(D$2:D$49,(1+'Monthly Returns'!D$2:D$49))</f>
        <v>6.5474170959045532E-3</v>
      </c>
      <c r="F22" s="107" cm="1">
        <f t="array" ref="F22">(Table684[[#This Row],[Μαρ-21]]*(1+Table6[[#This Row],[Μαρ-21]]))/SUMPRODUCT(E$2:E$49,(1+'Monthly Returns'!E$2:E$49))</f>
        <v>6.7629339564686218E-3</v>
      </c>
      <c r="G22" s="107" cm="1">
        <f t="array" ref="G22">(Table684[[#This Row],[Απρ-21]]*(1+Table6[[#This Row],[Απρ-21]]))/SUMPRODUCT(F$2:F$49,(1+'Monthly Returns'!F$2:F$49))</f>
        <v>6.7904393931233495E-3</v>
      </c>
      <c r="H22" s="109">
        <v>6.8388635036922994E-3</v>
      </c>
      <c r="I22" s="107" cm="1">
        <f t="array" ref="I22">(Table684[[#This Row],[Ιουν-21]]*(1+Table6[[#This Row],[Ιουν-21]]))/SUMPRODUCT(H$2:H$49,(1+'Monthly Returns'!H$2:H$49))</f>
        <v>7.0184718224611071E-3</v>
      </c>
      <c r="J22" s="107" cm="1">
        <f t="array" ref="J22">(Table684[[#This Row],[Ιουλ-21]]*(1+Table6[[#This Row],[Ιουλ-21]]))/SUMPRODUCT(I$2:I$49,(1+'Monthly Returns'!I$2:I$49))</f>
        <v>7.3675383361833909E-3</v>
      </c>
      <c r="K22" s="107" cm="1">
        <f t="array" ref="K22">(Table684[[#This Row],[Αυγ-21]]*(1+Table6[[#This Row],[Αυγ-21]]))/SUMPRODUCT(J$2:J$49,(1+'Monthly Returns'!J$2:J$49))</f>
        <v>7.3300104614062349E-3</v>
      </c>
      <c r="L22" s="107" cm="1">
        <f t="array" ref="L22">(Table684[[#This Row],[Σεπ-21]]*(1+Table6[[#This Row],[Σεπ-21]]))/SUMPRODUCT(K$2:K$49,(1+'Monthly Returns'!K$2:K$49))</f>
        <v>7.180826806408123E-3</v>
      </c>
      <c r="M22" s="107" cm="1">
        <f t="array" ref="M22">(Table684[[#This Row],[Οκτ-21]]*(1+Table6[[#This Row],[Οκτ-21]]))/SUMPRODUCT(L$2:L$49,(1+'Monthly Returns'!L$2:L$49))</f>
        <v>6.9800779031178916E-3</v>
      </c>
      <c r="N22" s="107" cm="1">
        <f t="array" ref="N22">(Table684[[#This Row],[Νοε-21]]*(1+Table6[[#This Row],[Νοε-21]]))/SUMPRODUCT(M$2:M$49,(1+'Monthly Returns'!M$2:M$49))</f>
        <v>7.4600227552152646E-3</v>
      </c>
      <c r="O22" s="109">
        <v>6.8388635036922994E-3</v>
      </c>
      <c r="P22" s="107" cm="1">
        <f t="array" ref="P22">(O22*(1+Table6[[#This Row],[Ιαν-22]]))/SUMPRODUCT(O$2:O$49,(1+'Monthly Returns'!O$2:O$49))</f>
        <v>6.0196665622340587E-3</v>
      </c>
      <c r="Q22" s="107" cm="1">
        <f t="array" ref="Q22">(P22*(1+Table6[[#This Row],[Φεβ-22]]))/SUMPRODUCT(P$2:P$49,(1+'Monthly Returns'!P$2:P$49))</f>
        <v>5.8957201476629358E-3</v>
      </c>
      <c r="R22" s="107" cm="1">
        <f t="array" ref="R22">(Q22*(1+Table6[[#This Row],[Μαρ-22]]))/SUMPRODUCT(Q$2:Q$49,(1+'Monthly Returns'!Q$2:Q$49))</f>
        <v>5.9140995525055673E-3</v>
      </c>
      <c r="S22" s="107" cm="1">
        <f t="array" ref="S22">(R22*(1+Table6[[#This Row],[Απρ-22]]))/SUMPRODUCT(R$2:R$49,(1+'Monthly Returns'!R$2:R$49))</f>
        <v>5.7536718580583892E-3</v>
      </c>
      <c r="T22" s="109">
        <v>6.8388635036922994E-3</v>
      </c>
      <c r="U22" s="107" cm="1">
        <f t="array" ref="U22">(T22*(1+Table6[[#This Row],[Ιουν-22]]))/SUMPRODUCT(T$2:T$49,(1+'Monthly Returns'!T$2:T$49))</f>
        <v>6.495235149066473E-3</v>
      </c>
      <c r="V22" s="107" cm="1">
        <f t="array" ref="V22">(U22*(1+Table6[[#This Row],[Ιουλ-22]]))/SUMPRODUCT(U$2:U$49,(1+'Monthly Returns'!U$2:U$49))</f>
        <v>6.9370688023728394E-3</v>
      </c>
      <c r="W22" s="107" cm="1">
        <f t="array" ref="W22">(V22*(1+Table6[[#This Row],[Αυγ-22]]))/SUMPRODUCT(V$2:V$49,(1+'Monthly Returns'!V$2:V$49))</f>
        <v>6.6150567505442797E-3</v>
      </c>
      <c r="X22" s="107" cm="1">
        <f t="array" ref="X22">(W22*(1+Table6[[#This Row],[Σεπ-22]]))/SUMPRODUCT(W$2:W$49,(1+'Monthly Returns'!W$2:W$49))</f>
        <v>6.4366055747785249E-3</v>
      </c>
      <c r="Y22" s="107" cm="1">
        <f t="array" ref="Y22">(X22*(1+Table6[[#This Row],[Οκτ-22]]))/SUMPRODUCT(X$2:X$49,(1+'Monthly Returns'!X$2:X$49))</f>
        <v>6.9332334003844361E-3</v>
      </c>
      <c r="Z22" s="107" cm="1">
        <f t="array" ref="Z22">(Y22*(1+Table6[[#This Row],[Νοε-22]]))/SUMPRODUCT(Y$2:Y$49,(1+'Monthly Returns'!Y$2:Y$49))</f>
        <v>6.4627929086647547E-3</v>
      </c>
      <c r="AA22" s="109">
        <v>6.8388635036922994E-3</v>
      </c>
      <c r="AB22" s="107" cm="1">
        <f t="array" ref="AB22">(AA22*(1+Table6[[#This Row],[Ιαν-23]]))/SUMPRODUCT(AA$2:AA$49,(1+'Monthly Returns'!AA$2:AA$49))</f>
        <v>6.849263631625517E-3</v>
      </c>
      <c r="AC22" s="107" cm="1">
        <f t="array" ref="AC22">(AB22*(1+Table6[[#This Row],[Φεβ-23]]))/SUMPRODUCT(AB$2:AB$49,(1+'Monthly Returns'!AB$2:AB$49))</f>
        <v>7.2143323415313678E-3</v>
      </c>
      <c r="AD22" s="107" cm="1">
        <f t="array" ref="AD22">(AC22*(1+Table6[[#This Row],[Μαρ-23]]))/SUMPRODUCT(AC$2:AC$49,(1+'Monthly Returns'!AC$2:AC$49))</f>
        <v>6.8956354412461167E-3</v>
      </c>
      <c r="AE22" s="107" cm="1">
        <f t="array" ref="AE22">(AD22*(1+Table6[[#This Row],[Απρ-23]]))/SUMPRODUCT(AD$2:AD$49,(1+'Monthly Returns'!AD$2:AD$49))</f>
        <v>6.8396209969720763E-3</v>
      </c>
      <c r="AF22" s="109">
        <v>6.8388635036922994E-3</v>
      </c>
      <c r="AG22" s="107" cm="1">
        <f t="array" ref="AG22">(AF22*(1+Table6[[#This Row],[Ιουν-23]]))/SUMPRODUCT(AF$2:AF$49,(1+'Monthly Returns'!AF$2:AF$49))</f>
        <v>6.9514982958507237E-3</v>
      </c>
      <c r="AH22" s="107" cm="1">
        <f t="array" ref="AH22">(AG22*(1+Table6[[#This Row],[Ιουλ-23]]))/SUMPRODUCT(AG$2:AG$49,(1+'Monthly Returns'!AG$2:AG$49))</f>
        <v>6.8342062067213577E-3</v>
      </c>
      <c r="AI22" s="107" cm="1">
        <f t="array" ref="AI22">(AH22*(1+Table6[[#This Row],[Αυγ-23]]))/SUMPRODUCT(AH$2:AH$49,(1+'Monthly Returns'!AH$2:AH$49))</f>
        <v>6.9651237023664134E-3</v>
      </c>
      <c r="AJ22" s="107" cm="1">
        <f t="array" ref="AJ22">(AI22*(1+Table6[[#This Row],[Σεπ-23]]))/SUMPRODUCT(AI$2:AI$49,(1+'Monthly Returns'!AI$2:AI$49))</f>
        <v>6.7745293708003796E-3</v>
      </c>
      <c r="AK22" s="107" cm="1">
        <f t="array" ref="AK22">(AJ22*(1+Table6[[#This Row],[Οκτ-23]]))/SUMPRODUCT(AJ$2:AJ$49,(1+'Monthly Returns'!AJ$2:AJ$49))</f>
        <v>6.5792002334178062E-3</v>
      </c>
      <c r="AL22" s="107" cm="1">
        <f t="array" ref="AL22">(AK22*(1+Table6[[#This Row],[Νοε-23]]))/SUMPRODUCT(AK$2:AK$49,(1+'Monthly Returns'!AK$2:AK$49))</f>
        <v>6.5634295089341162E-3</v>
      </c>
      <c r="AM22" s="109">
        <v>6.8388635036922994E-3</v>
      </c>
      <c r="AN22" s="107" cm="1">
        <f t="array" ref="AN22">(AM22*(1+Table6[[#This Row],[Ιαν-24]]))/SUMPRODUCT(AM$2:AM$49,(1+'Monthly Returns'!AM$2:AM$49))</f>
        <v>6.4476879661180932E-3</v>
      </c>
      <c r="AO22" s="107" cm="1">
        <f t="array" ref="AO22">(AN22*(1+Table6[[#This Row],[Φεβ-24]]))/SUMPRODUCT(AN$2:AN$49,(1+'Monthly Returns'!AN$2:AN$49))</f>
        <v>6.4571083389899659E-3</v>
      </c>
      <c r="AP22" s="107" cm="1">
        <f t="array" ref="AP22">(AO22*(1+Table6[[#This Row],[Μαρ-24]]))/SUMPRODUCT(AO$2:AO$49,(1+'Monthly Returns'!AO$2:AO$49))</f>
        <v>6.4287414403613862E-3</v>
      </c>
      <c r="AQ22" s="107" cm="1">
        <f t="array" ref="AQ22">(AP22*(1+Table6[[#This Row],[Απρ-24]]))/SUMPRODUCT(AP$2:AP$49,(1+'Monthly Returns'!AP$2:AP$49))</f>
        <v>6.3539709017993804E-3</v>
      </c>
      <c r="AR22" s="109">
        <v>6.8388635036922994E-3</v>
      </c>
      <c r="AS22" s="107" cm="1">
        <f t="array" ref="AS22">(AR22*(1+Table6[[#This Row],[Ιουν-24]]))/SUMPRODUCT(AR$2:AR$49,(1+'Monthly Returns'!AR$2:AR$49))</f>
        <v>6.4680826769531836E-3</v>
      </c>
      <c r="AT22" s="107" cm="1">
        <f t="array" ref="AT22">(AS22*(1+Table6[[#This Row],[Ιουλ-24]]))/SUMPRODUCT(AS$2:AS$49,(1+'Monthly Returns'!AS$2:AS$49))</f>
        <v>6.7839325324594059E-3</v>
      </c>
      <c r="AU22" s="107" cm="1">
        <f t="array" ref="AU22">(AT22*(1+Table6[[#This Row],[Αυγ-24]]))/SUMPRODUCT(AT$2:AT$49,(1+'Monthly Returns'!AT$2:AT$49))</f>
        <v>6.6920018690572311E-3</v>
      </c>
      <c r="AV22" s="107" cm="1">
        <f t="array" ref="AV22">(AU22*(1+Table6[[#This Row],[Σεπ-24]]))/SUMPRODUCT(AU$2:AU$49,(1+'Monthly Returns'!AU$2:AU$49))</f>
        <v>6.8319401979405796E-3</v>
      </c>
      <c r="AW22" s="107" cm="1">
        <f t="array" ref="AW22">(AV22*(1+Table6[[#This Row],[Οκτ-24]]))/SUMPRODUCT(AV$2:AV$49,(1+'Monthly Returns'!AV$2:AV$49))</f>
        <v>7.0079266760993165E-3</v>
      </c>
      <c r="AX22" s="107" cm="1">
        <f t="array" ref="AX22">(AW22*(1+Table6[[#This Row],[Νοε-24]]))/SUMPRODUCT(AW$2:AW$49,(1+'Monthly Returns'!AW$2:AW$49))</f>
        <v>6.3031235297109208E-3</v>
      </c>
      <c r="AY22" s="109">
        <v>6.8388635036922994E-3</v>
      </c>
      <c r="AZ22" s="107" cm="1">
        <f t="array" ref="AZ22">(AY22*(1+Table6[[#This Row],[Ιαν-25]]))/SUMPRODUCT(AY$2:AY$49,(1+'Monthly Returns'!AY$2:AY$49))</f>
        <v>6.6813920667982011E-3</v>
      </c>
      <c r="BA22" s="107" cm="1">
        <f t="array" ref="BA22">(AZ22*(1+Table6[[#This Row],[Φεβ-25]]))/SUMPRODUCT(AZ$2:AZ$49,(1+'Monthly Returns'!AZ$2:AZ$49))</f>
        <v>6.7917627087387741E-3</v>
      </c>
      <c r="BB22" s="107" cm="1">
        <f t="array" ref="BB22">(BA22*(1+Table6[[#This Row],[Μαρ-25]]))/SUMPRODUCT(BA$2:BA$49,(1+'Monthly Returns'!BA$2:BA$49))</f>
        <v>6.4012365839483318E-3</v>
      </c>
      <c r="BC22" s="107" cm="1">
        <f t="array" ref="BC22">(BB22*(1+Table6[[#This Row],[Απρ-25]]))/SUMPRODUCT(BB$2:BB$49,(1+'Monthly Returns'!BB$2:BB$49))</f>
        <v>6.2911101667048521E-3</v>
      </c>
      <c r="BD22" s="109">
        <v>6.8388635036922994E-3</v>
      </c>
      <c r="BE22" s="106"/>
      <c r="BF22" s="106"/>
      <c r="BG22" s="106"/>
      <c r="BH22" s="106"/>
      <c r="BI22" s="106"/>
      <c r="BJ22" s="106"/>
      <c r="BK22" s="106"/>
      <c r="BL22" s="106"/>
      <c r="BM22" s="106"/>
      <c r="BN22" s="106"/>
      <c r="BO22" s="106"/>
      <c r="BP22" s="106"/>
      <c r="BQ22" s="106"/>
      <c r="BR22" s="106"/>
      <c r="BS22" s="106"/>
      <c r="BT22" s="106"/>
      <c r="BU22" s="106"/>
      <c r="BV22" s="106"/>
      <c r="BW22" s="106"/>
      <c r="BX22" s="106"/>
      <c r="BY22" s="106"/>
      <c r="BZ22" s="106"/>
      <c r="CA22" s="106"/>
      <c r="CB22" s="106"/>
      <c r="CC22" s="106"/>
      <c r="CD22" s="106"/>
      <c r="CE22" s="106"/>
      <c r="CF22" s="106"/>
      <c r="CG22" s="106"/>
      <c r="CH22" s="106"/>
      <c r="CI22" s="106"/>
      <c r="CJ22" s="106"/>
      <c r="CK22" s="106"/>
      <c r="CL22" s="106"/>
      <c r="CM22" s="106"/>
      <c r="CN22" s="106"/>
    </row>
    <row r="23" spans="1:92">
      <c r="A23" s="110" t="s">
        <v>179</v>
      </c>
      <c r="B23" s="110" t="s">
        <v>180</v>
      </c>
      <c r="C23" s="109">
        <v>2.9657608505578283E-2</v>
      </c>
      <c r="D23" s="107" cm="1">
        <f t="array" ref="D23">(Table684[[#This Row],[Ιαν-21]]*(1+Table6[[#This Row],[Ιαν-21]]))/SUMPRODUCT(C$2:C$49,(1+'Monthly Returns'!C$2:C$49))</f>
        <v>3.0681479167959849E-2</v>
      </c>
      <c r="E23" s="107" cm="1">
        <f t="array" ref="E23">(Table684[[#This Row],[Φεβ-21]]*(1+Table6[[#This Row],[Φεβ-21]]))/SUMPRODUCT(D$2:D$49,(1+'Monthly Returns'!D$2:D$49))</f>
        <v>2.8132229402266857E-2</v>
      </c>
      <c r="F23" s="107" cm="1">
        <f t="array" ref="F23">(Table684[[#This Row],[Μαρ-21]]*(1+Table6[[#This Row],[Μαρ-21]]))/SUMPRODUCT(E$2:E$49,(1+'Monthly Returns'!E$2:E$49))</f>
        <v>2.8807941158654149E-2</v>
      </c>
      <c r="G23" s="107" cm="1">
        <f t="array" ref="G23">(Table684[[#This Row],[Απρ-21]]*(1+Table6[[#This Row],[Απρ-21]]))/SUMPRODUCT(F$2:F$49,(1+'Monthly Returns'!F$2:F$49))</f>
        <v>2.916019991934142E-2</v>
      </c>
      <c r="H23" s="109">
        <v>2.9657608505578283E-2</v>
      </c>
      <c r="I23" s="107" cm="1">
        <f t="array" ref="I23">(Table684[[#This Row],[Ιουν-21]]*(1+Table6[[#This Row],[Ιουν-21]]))/SUMPRODUCT(H$2:H$49,(1+'Monthly Returns'!H$2:H$49))</f>
        <v>3.0500745845134777E-2</v>
      </c>
      <c r="J23" s="107" cm="1">
        <f t="array" ref="J23">(Table684[[#This Row],[Ιουλ-21]]*(1+Table6[[#This Row],[Ιουλ-21]]))/SUMPRODUCT(I$2:I$49,(1+'Monthly Returns'!I$2:I$49))</f>
        <v>3.3378631072126727E-2</v>
      </c>
      <c r="K23" s="107" cm="1">
        <f t="array" ref="K23">(Table684[[#This Row],[Αυγ-21]]*(1+Table6[[#This Row],[Αυγ-21]]))/SUMPRODUCT(J$2:J$49,(1+'Monthly Returns'!J$2:J$49))</f>
        <v>3.3579366272895116E-2</v>
      </c>
      <c r="L23" s="107" cm="1">
        <f t="array" ref="L23">(Table684[[#This Row],[Σεπ-21]]*(1+Table6[[#This Row],[Σεπ-21]]))/SUMPRODUCT(K$2:K$49,(1+'Monthly Returns'!K$2:K$49))</f>
        <v>3.3779264171593881E-2</v>
      </c>
      <c r="M23" s="107" cm="1">
        <f t="array" ref="M23">(Table684[[#This Row],[Οκτ-21]]*(1+Table6[[#This Row],[Οκτ-21]]))/SUMPRODUCT(L$2:L$49,(1+'Monthly Returns'!L$2:L$49))</f>
        <v>3.4712589388462625E-2</v>
      </c>
      <c r="N23" s="107" cm="1">
        <f t="array" ref="N23">(Table684[[#This Row],[Νοε-21]]*(1+Table6[[#This Row],[Νοε-21]]))/SUMPRODUCT(M$2:M$49,(1+'Monthly Returns'!M$2:M$49))</f>
        <v>3.6904330778065909E-2</v>
      </c>
      <c r="O23" s="109">
        <v>2.9657608505578283E-2</v>
      </c>
      <c r="P23" s="107" cm="1">
        <f t="array" ref="P23">(O23*(1+Table6[[#This Row],[Ιαν-22]]))/SUMPRODUCT(O$2:O$49,(1+'Monthly Returns'!O$2:O$49))</f>
        <v>2.8483137679743059E-2</v>
      </c>
      <c r="Q23" s="107" cm="1">
        <f t="array" ref="Q23">(P23*(1+Table6[[#This Row],[Φεβ-22]]))/SUMPRODUCT(P$2:P$49,(1+'Monthly Returns'!P$2:P$49))</f>
        <v>2.9615652579698414E-2</v>
      </c>
      <c r="R23" s="107" cm="1">
        <f t="array" ref="R23">(Q23*(1+Table6[[#This Row],[Μαρ-22]]))/SUMPRODUCT(Q$2:Q$49,(1+'Monthly Returns'!Q$2:Q$49))</f>
        <v>3.023305892451858E-2</v>
      </c>
      <c r="S23" s="107" cm="1">
        <f t="array" ref="S23">(R23*(1+Table6[[#This Row],[Απρ-22]]))/SUMPRODUCT(R$2:R$49,(1+'Monthly Returns'!R$2:R$49))</f>
        <v>3.072591857268394E-2</v>
      </c>
      <c r="T23" s="109">
        <v>2.9657608505578283E-2</v>
      </c>
      <c r="U23" s="107" cm="1">
        <f t="array" ref="U23">(T23*(1+Table6[[#This Row],[Ιουν-22]]))/SUMPRODUCT(T$2:T$49,(1+'Monthly Returns'!T$2:T$49))</f>
        <v>3.1114274574360105E-2</v>
      </c>
      <c r="V23" s="107" cm="1">
        <f t="array" ref="V23">(U23*(1+Table6[[#This Row],[Ιουλ-22]]))/SUMPRODUCT(U$2:U$49,(1+'Monthly Returns'!U$2:U$49))</f>
        <v>3.2820435144334748E-2</v>
      </c>
      <c r="W23" s="107" cm="1">
        <f t="array" ref="W23">(V23*(1+Table6[[#This Row],[Αυγ-22]]))/SUMPRODUCT(V$2:V$49,(1+'Monthly Returns'!V$2:V$49))</f>
        <v>3.1449120902547777E-2</v>
      </c>
      <c r="X23" s="107" cm="1">
        <f t="array" ref="X23">(W23*(1+Table6[[#This Row],[Σεπ-22]]))/SUMPRODUCT(W$2:W$49,(1+'Monthly Returns'!W$2:W$49))</f>
        <v>3.1762114343461205E-2</v>
      </c>
      <c r="Y23" s="107" cm="1">
        <f t="array" ref="Y23">(X23*(1+Table6[[#This Row],[Οκτ-22]]))/SUMPRODUCT(X$2:X$49,(1+'Monthly Returns'!X$2:X$49))</f>
        <v>3.2069304664577351E-2</v>
      </c>
      <c r="Z23" s="107" cm="1">
        <f t="array" ref="Z23">(Y23*(1+Table6[[#This Row],[Νοε-22]]))/SUMPRODUCT(Y$2:Y$49,(1+'Monthly Returns'!Y$2:Y$49))</f>
        <v>2.9339727273539805E-2</v>
      </c>
      <c r="AA23" s="109">
        <v>2.9657608505578283E-2</v>
      </c>
      <c r="AB23" s="107" cm="1">
        <f t="array" ref="AB23">(AA23*(1+Table6[[#This Row],[Ιαν-23]]))/SUMPRODUCT(AA$2:AA$49,(1+'Monthly Returns'!AA$2:AA$49))</f>
        <v>2.8674727538545941E-2</v>
      </c>
      <c r="AC23" s="107" cm="1">
        <f t="array" ref="AC23">(AB23*(1+Table6[[#This Row],[Φεβ-23]]))/SUMPRODUCT(AB$2:AB$49,(1+'Monthly Returns'!AB$2:AB$49))</f>
        <v>2.952409657700554E-2</v>
      </c>
      <c r="AD23" s="107" cm="1">
        <f t="array" ref="AD23">(AC23*(1+Table6[[#This Row],[Μαρ-23]]))/SUMPRODUCT(AC$2:AC$49,(1+'Monthly Returns'!AC$2:AC$49))</f>
        <v>3.0624921983861911E-2</v>
      </c>
      <c r="AE23" s="107" cm="1">
        <f t="array" ref="AE23">(AD23*(1+Table6[[#This Row],[Απρ-23]]))/SUMPRODUCT(AD$2:AD$49,(1+'Monthly Returns'!AD$2:AD$49))</f>
        <v>3.0671180237659048E-2</v>
      </c>
      <c r="AF23" s="109">
        <v>2.9657608505578283E-2</v>
      </c>
      <c r="AG23" s="107" cm="1">
        <f t="array" ref="AG23">(AF23*(1+Table6[[#This Row],[Ιουν-23]]))/SUMPRODUCT(AF$2:AF$49,(1+'Monthly Returns'!AF$2:AF$49))</f>
        <v>3.0028193362817982E-2</v>
      </c>
      <c r="AH23" s="107" cm="1">
        <f t="array" ref="AH23">(AG23*(1+Table6[[#This Row],[Ιουλ-23]]))/SUMPRODUCT(AG$2:AG$49,(1+'Monthly Returns'!AG$2:AG$49))</f>
        <v>2.949505328729652E-2</v>
      </c>
      <c r="AI23" s="107" cm="1">
        <f t="array" ref="AI23">(AH23*(1+Table6[[#This Row],[Αυγ-23]]))/SUMPRODUCT(AH$2:AH$49,(1+'Monthly Returns'!AH$2:AH$49))</f>
        <v>2.9780452205823552E-2</v>
      </c>
      <c r="AJ23" s="107" cm="1">
        <f t="array" ref="AJ23">(AI23*(1+Table6[[#This Row],[Σεπ-23]]))/SUMPRODUCT(AI$2:AI$49,(1+'Monthly Returns'!AI$2:AI$49))</f>
        <v>3.2136240126264475E-2</v>
      </c>
      <c r="AK23" s="107" cm="1">
        <f t="array" ref="AK23">(AJ23*(1+Table6[[#This Row],[Οκτ-23]]))/SUMPRODUCT(AJ$2:AJ$49,(1+'Monthly Returns'!AJ$2:AJ$49))</f>
        <v>3.4406535098025555E-2</v>
      </c>
      <c r="AL23" s="107" cm="1">
        <f t="array" ref="AL23">(AK23*(1+Table6[[#This Row],[Νοε-23]]))/SUMPRODUCT(AK$2:AK$49,(1+'Monthly Returns'!AK$2:AK$49))</f>
        <v>3.3821155584597737E-2</v>
      </c>
      <c r="AM23" s="109">
        <v>2.9657608505578283E-2</v>
      </c>
      <c r="AN23" s="107" cm="1">
        <f t="array" ref="AN23">(AM23*(1+Table6[[#This Row],[Ιαν-24]]))/SUMPRODUCT(AM$2:AM$49,(1+'Monthly Returns'!AM$2:AM$49))</f>
        <v>3.1075155656134088E-2</v>
      </c>
      <c r="AO23" s="107" cm="1">
        <f t="array" ref="AO23">(AN23*(1+Table6[[#This Row],[Φεβ-24]]))/SUMPRODUCT(AN$2:AN$49,(1+'Monthly Returns'!AN$2:AN$49))</f>
        <v>3.176333364324492E-2</v>
      </c>
      <c r="AP23" s="107" cm="1">
        <f t="array" ref="AP23">(AO23*(1+Table6[[#This Row],[Μαρ-24]]))/SUMPRODUCT(AO$2:AO$49,(1+'Monthly Returns'!AO$2:AO$49))</f>
        <v>2.9808548407821486E-2</v>
      </c>
      <c r="AQ23" s="107" cm="1">
        <f t="array" ref="AQ23">(AP23*(1+Table6[[#This Row],[Απρ-24]]))/SUMPRODUCT(AP$2:AP$49,(1+'Monthly Returns'!AP$2:AP$49))</f>
        <v>2.8861385393184471E-2</v>
      </c>
      <c r="AR23" s="109">
        <v>2.9657608505578283E-2</v>
      </c>
      <c r="AS23" s="107" cm="1">
        <f t="array" ref="AS23">(AR23*(1+Table6[[#This Row],[Ιουν-24]]))/SUMPRODUCT(AR$2:AR$49,(1+'Monthly Returns'!AR$2:AR$49))</f>
        <v>3.2130494796722191E-2</v>
      </c>
      <c r="AT23" s="107" cm="1">
        <f t="array" ref="AT23">(AS23*(1+Table6[[#This Row],[Ιουλ-24]]))/SUMPRODUCT(AS$2:AS$49,(1+'Monthly Returns'!AS$2:AS$49))</f>
        <v>3.1758537523453749E-2</v>
      </c>
      <c r="AU23" s="107" cm="1">
        <f t="array" ref="AU23">(AT23*(1+Table6[[#This Row],[Αυγ-24]]))/SUMPRODUCT(AT$2:AT$49,(1+'Monthly Returns'!AT$2:AT$49))</f>
        <v>2.9930584955600217E-2</v>
      </c>
      <c r="AV23" s="107" cm="1">
        <f t="array" ref="AV23">(AU23*(1+Table6[[#This Row],[Σεπ-24]]))/SUMPRODUCT(AU$2:AU$49,(1+'Monthly Returns'!AU$2:AU$49))</f>
        <v>3.0053583173491535E-2</v>
      </c>
      <c r="AW23" s="107" cm="1">
        <f t="array" ref="AW23">(AV23*(1+Table6[[#This Row],[Οκτ-24]]))/SUMPRODUCT(AV$2:AV$49,(1+'Monthly Returns'!AV$2:AV$49))</f>
        <v>3.071093786461529E-2</v>
      </c>
      <c r="AX23" s="107" cm="1">
        <f t="array" ref="AX23">(AW23*(1+Table6[[#This Row],[Νοε-24]]))/SUMPRODUCT(AW$2:AW$49,(1+'Monthly Returns'!AW$2:AW$49))</f>
        <v>3.19233559762419E-2</v>
      </c>
      <c r="AY23" s="109">
        <v>2.9657608505578283E-2</v>
      </c>
      <c r="AZ23" s="107" cm="1">
        <f t="array" ref="AZ23">(AY23*(1+Table6[[#This Row],[Ιαν-25]]))/SUMPRODUCT(AY$2:AY$49,(1+'Monthly Returns'!AY$2:AY$49))</f>
        <v>3.019542650867453E-2</v>
      </c>
      <c r="BA23" s="107" cm="1">
        <f t="array" ref="BA23">(AZ23*(1+Table6[[#This Row],[Φεβ-25]]))/SUMPRODUCT(AZ$2:AZ$49,(1+'Monthly Returns'!AZ$2:AZ$49))</f>
        <v>2.7634868919093482E-2</v>
      </c>
      <c r="BB23" s="107" cm="1">
        <f t="array" ref="BB23">(BA23*(1+Table6[[#This Row],[Μαρ-25]]))/SUMPRODUCT(BA$2:BA$49,(1+'Monthly Returns'!BA$2:BA$49))</f>
        <v>2.8270774878978042E-2</v>
      </c>
      <c r="BC23" s="107" cm="1">
        <f t="array" ref="BC23">(BB23*(1+Table6[[#This Row],[Απρ-25]]))/SUMPRODUCT(BB$2:BB$49,(1+'Monthly Returns'!BB$2:BB$49))</f>
        <v>2.9007672287106913E-2</v>
      </c>
      <c r="BD23" s="109">
        <v>2.9657608505578283E-2</v>
      </c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</row>
    <row r="24" spans="1:92">
      <c r="A24" s="110" t="s">
        <v>185</v>
      </c>
      <c r="B24" s="110" t="s">
        <v>186</v>
      </c>
      <c r="C24" s="109">
        <v>2.446752701710208E-2</v>
      </c>
      <c r="D24" s="107" cm="1">
        <f t="array" ref="D24">(Table684[[#This Row],[Ιαν-21]]*(1+Table6[[#This Row],[Ιαν-21]]))/SUMPRODUCT(C$2:C$49,(1+'Monthly Returns'!C$2:C$49))</f>
        <v>2.3288232413615974E-2</v>
      </c>
      <c r="E24" s="107" cm="1">
        <f t="array" ref="E24">(Table684[[#This Row],[Φεβ-21]]*(1+Table6[[#This Row],[Φεβ-21]]))/SUMPRODUCT(D$2:D$49,(1+'Monthly Returns'!D$2:D$49))</f>
        <v>2.5141897300491659E-2</v>
      </c>
      <c r="F24" s="107" cm="1">
        <f t="array" ref="F24">(Table684[[#This Row],[Μαρ-21]]*(1+Table6[[#This Row],[Μαρ-21]]))/SUMPRODUCT(E$2:E$49,(1+'Monthly Returns'!E$2:E$49))</f>
        <v>2.3906799310414145E-2</v>
      </c>
      <c r="G24" s="107" cm="1">
        <f t="array" ref="G24">(Table684[[#This Row],[Απρ-21]]*(1+Table6[[#This Row],[Απρ-21]]))/SUMPRODUCT(F$2:F$49,(1+'Monthly Returns'!F$2:F$49))</f>
        <v>2.5151108941959481E-2</v>
      </c>
      <c r="H24" s="109">
        <v>2.446752701710208E-2</v>
      </c>
      <c r="I24" s="107" cm="1">
        <f t="array" ref="I24">(Table684[[#This Row],[Ιουν-21]]*(1+Table6[[#This Row],[Ιουν-21]]))/SUMPRODUCT(H$2:H$49,(1+'Monthly Returns'!H$2:H$49))</f>
        <v>2.3332194532872906E-2</v>
      </c>
      <c r="J24" s="107" cm="1">
        <f t="array" ref="J24">(Table684[[#This Row],[Ιουλ-21]]*(1+Table6[[#This Row],[Ιουλ-21]]))/SUMPRODUCT(I$2:I$49,(1+'Monthly Returns'!I$2:I$49))</f>
        <v>2.2831996152643284E-2</v>
      </c>
      <c r="K24" s="107" cm="1">
        <f t="array" ref="K24">(Table684[[#This Row],[Αυγ-21]]*(1+Table6[[#This Row],[Αυγ-21]]))/SUMPRODUCT(J$2:J$49,(1+'Monthly Returns'!J$2:J$49))</f>
        <v>2.2664530804125348E-2</v>
      </c>
      <c r="L24" s="107" cm="1">
        <f t="array" ref="L24">(Table684[[#This Row],[Σεπ-21]]*(1+Table6[[#This Row],[Σεπ-21]]))/SUMPRODUCT(K$2:K$49,(1+'Monthly Returns'!K$2:K$49))</f>
        <v>2.3010558753224476E-2</v>
      </c>
      <c r="M24" s="107" cm="1">
        <f t="array" ref="M24">(Table684[[#This Row],[Οκτ-21]]*(1+Table6[[#This Row],[Οκτ-21]]))/SUMPRODUCT(L$2:L$49,(1+'Monthly Returns'!L$2:L$49))</f>
        <v>2.2556599350784794E-2</v>
      </c>
      <c r="N24" s="107" cm="1">
        <f t="array" ref="N24">(Table684[[#This Row],[Νοε-21]]*(1+Table6[[#This Row],[Νοε-21]]))/SUMPRODUCT(M$2:M$49,(1+'Monthly Returns'!M$2:M$49))</f>
        <v>2.140808906520214E-2</v>
      </c>
      <c r="O24" s="109">
        <v>2.446752701710208E-2</v>
      </c>
      <c r="P24" s="107" cm="1">
        <f t="array" ref="P24">(O24*(1+Table6[[#This Row],[Ιαν-22]]))/SUMPRODUCT(O$2:O$49,(1+'Monthly Returns'!O$2:O$49))</f>
        <v>2.567520643210865E-2</v>
      </c>
      <c r="Q24" s="107" cm="1">
        <f t="array" ref="Q24">(P24*(1+Table6[[#This Row],[Φεβ-22]]))/SUMPRODUCT(P$2:P$49,(1+'Monthly Returns'!P$2:P$49))</f>
        <v>2.6035795570707829E-2</v>
      </c>
      <c r="R24" s="107" cm="1">
        <f t="array" ref="R24">(Q24*(1+Table6[[#This Row],[Μαρ-22]]))/SUMPRODUCT(Q$2:Q$49,(1+'Monthly Returns'!Q$2:Q$49))</f>
        <v>2.5229639819609465E-2</v>
      </c>
      <c r="S24" s="107" cm="1">
        <f t="array" ref="S24">(R24*(1+Table6[[#This Row],[Απρ-22]]))/SUMPRODUCT(R$2:R$49,(1+'Monthly Returns'!R$2:R$49))</f>
        <v>2.5585899477196954E-2</v>
      </c>
      <c r="T24" s="109">
        <v>2.446752701710208E-2</v>
      </c>
      <c r="U24" s="107" cm="1">
        <f t="array" ref="U24">(T24*(1+Table6[[#This Row],[Ιουν-22]]))/SUMPRODUCT(T$2:T$49,(1+'Monthly Returns'!T$2:T$49))</f>
        <v>2.5172417533063582E-2</v>
      </c>
      <c r="V24" s="107" cm="1">
        <f t="array" ref="V24">(U24*(1+Table6[[#This Row],[Ιουλ-22]]))/SUMPRODUCT(U$2:U$49,(1+'Monthly Returns'!U$2:U$49))</f>
        <v>2.6064242718296396E-2</v>
      </c>
      <c r="W24" s="107" cm="1">
        <f t="array" ref="W24">(V24*(1+Table6[[#This Row],[Αυγ-22]]))/SUMPRODUCT(V$2:V$49,(1+'Monthly Returns'!V$2:V$49))</f>
        <v>2.7134078740660175E-2</v>
      </c>
      <c r="X24" s="107" cm="1">
        <f t="array" ref="X24">(W24*(1+Table6[[#This Row],[Σεπ-22]]))/SUMPRODUCT(W$2:W$49,(1+'Monthly Returns'!W$2:W$49))</f>
        <v>2.5812328814811283E-2</v>
      </c>
      <c r="Y24" s="107" cm="1">
        <f t="array" ref="Y24">(X24*(1+Table6[[#This Row],[Οκτ-22]]))/SUMPRODUCT(X$2:X$49,(1+'Monthly Returns'!X$2:X$49))</f>
        <v>2.6919735441435652E-2</v>
      </c>
      <c r="Z24" s="107" cm="1">
        <f t="array" ref="Z24">(Y24*(1+Table6[[#This Row],[Νοε-22]]))/SUMPRODUCT(Y$2:Y$49,(1+'Monthly Returns'!Y$2:Y$49))</f>
        <v>2.617992168254895E-2</v>
      </c>
      <c r="AA24" s="109">
        <v>2.446752701710208E-2</v>
      </c>
      <c r="AB24" s="107" cm="1">
        <f t="array" ref="AB24">(AA24*(1+Table6[[#This Row],[Ιαν-23]]))/SUMPRODUCT(AA$2:AA$49,(1+'Monthly Returns'!AA$2:AA$49))</f>
        <v>2.4924291282834608E-2</v>
      </c>
      <c r="AC24" s="107" cm="1">
        <f t="array" ref="AC24">(AB24*(1+Table6[[#This Row],[Φεβ-23]]))/SUMPRODUCT(AB$2:AB$49,(1+'Monthly Returns'!AB$2:AB$49))</f>
        <v>2.5481346854347421E-2</v>
      </c>
      <c r="AD24" s="107" cm="1">
        <f t="array" ref="AD24">(AC24*(1+Table6[[#This Row],[Μαρ-23]]))/SUMPRODUCT(AC$2:AC$49,(1+'Monthly Returns'!AC$2:AC$49))</f>
        <v>2.4875898991515939E-2</v>
      </c>
      <c r="AE24" s="107" cm="1">
        <f t="array" ref="AE24">(AD24*(1+Table6[[#This Row],[Απρ-23]]))/SUMPRODUCT(AD$2:AD$49,(1+'Monthly Returns'!AD$2:AD$49))</f>
        <v>2.6404602475101135E-2</v>
      </c>
      <c r="AF24" s="109">
        <v>2.446752701710208E-2</v>
      </c>
      <c r="AG24" s="107" cm="1">
        <f t="array" ref="AG24">(AF24*(1+Table6[[#This Row],[Ιουν-23]]))/SUMPRODUCT(AF$2:AF$49,(1+'Monthly Returns'!AF$2:AF$49))</f>
        <v>2.3732047371986045E-2</v>
      </c>
      <c r="AH24" s="107" cm="1">
        <f t="array" ref="AH24">(AG24*(1+Table6[[#This Row],[Ιουλ-23]]))/SUMPRODUCT(AG$2:AG$49,(1+'Monthly Returns'!AG$2:AG$49))</f>
        <v>2.3338593458489734E-2</v>
      </c>
      <c r="AI24" s="107" cm="1">
        <f t="array" ref="AI24">(AH24*(1+Table6[[#This Row],[Αυγ-23]]))/SUMPRODUCT(AH$2:AH$49,(1+'Monthly Returns'!AH$2:AH$49))</f>
        <v>2.2938733149555149E-2</v>
      </c>
      <c r="AJ24" s="107" cm="1">
        <f t="array" ref="AJ24">(AI24*(1+Table6[[#This Row],[Σεπ-23]]))/SUMPRODUCT(AI$2:AI$49,(1+'Monthly Returns'!AI$2:AI$49))</f>
        <v>2.3747528020866843E-2</v>
      </c>
      <c r="AK24" s="107" cm="1">
        <f t="array" ref="AK24">(AJ24*(1+Table6[[#This Row],[Οκτ-23]]))/SUMPRODUCT(AJ$2:AJ$49,(1+'Monthly Returns'!AJ$2:AJ$49))</f>
        <v>2.4585018979129094E-2</v>
      </c>
      <c r="AL24" s="107" cm="1">
        <f t="array" ref="AL24">(AK24*(1+Table6[[#This Row],[Νοε-23]]))/SUMPRODUCT(AK$2:AK$49,(1+'Monthly Returns'!AK$2:AK$49))</f>
        <v>2.4532867419782445E-2</v>
      </c>
      <c r="AM24" s="109">
        <v>2.446752701710208E-2</v>
      </c>
      <c r="AN24" s="107" cm="1">
        <f t="array" ref="AN24">(AM24*(1+Table6[[#This Row],[Ιαν-24]]))/SUMPRODUCT(AM$2:AM$49,(1+'Monthly Returns'!AM$2:AM$49))</f>
        <v>2.4768645541166302E-2</v>
      </c>
      <c r="AO24" s="107" cm="1">
        <f t="array" ref="AO24">(AN24*(1+Table6[[#This Row],[Φεβ-24]]))/SUMPRODUCT(AN$2:AN$49,(1+'Monthly Returns'!AN$2:AN$49))</f>
        <v>2.4211107333567673E-2</v>
      </c>
      <c r="AP24" s="107" cm="1">
        <f t="array" ref="AP24">(AO24*(1+Table6[[#This Row],[Μαρ-24]]))/SUMPRODUCT(AO$2:AO$49,(1+'Monthly Returns'!AO$2:AO$49))</f>
        <v>2.3014811130562404E-2</v>
      </c>
      <c r="AQ24" s="107" cm="1">
        <f t="array" ref="AQ24">(AP24*(1+Table6[[#This Row],[Απρ-24]]))/SUMPRODUCT(AP$2:AP$49,(1+'Monthly Returns'!AP$2:AP$49))</f>
        <v>2.2082848996532921E-2</v>
      </c>
      <c r="AR24" s="109">
        <v>2.446752701710208E-2</v>
      </c>
      <c r="AS24" s="107" cm="1">
        <f t="array" ref="AS24">(AR24*(1+Table6[[#This Row],[Ιουν-24]]))/SUMPRODUCT(AR$2:AR$49,(1+'Monthly Returns'!AR$2:AR$49))</f>
        <v>2.1279401377466822E-2</v>
      </c>
      <c r="AT24" s="107" cm="1">
        <f t="array" ref="AT24">(AS24*(1+Table6[[#This Row],[Ιουλ-24]]))/SUMPRODUCT(AS$2:AS$49,(1+'Monthly Returns'!AS$2:AS$49))</f>
        <v>2.2219159546230931E-2</v>
      </c>
      <c r="AU24" s="107" cm="1">
        <f t="array" ref="AU24">(AT24*(1+Table6[[#This Row],[Αυγ-24]]))/SUMPRODUCT(AT$2:AT$49,(1+'Monthly Returns'!AT$2:AT$49))</f>
        <v>2.2153856890767556E-2</v>
      </c>
      <c r="AV24" s="107" cm="1">
        <f t="array" ref="AV24">(AU24*(1+Table6[[#This Row],[Σεπ-24]]))/SUMPRODUCT(AU$2:AU$49,(1+'Monthly Returns'!AU$2:AU$49))</f>
        <v>2.1500446302277577E-2</v>
      </c>
      <c r="AW24" s="107" cm="1">
        <f t="array" ref="AW24">(AV24*(1+Table6[[#This Row],[Οκτ-24]]))/SUMPRODUCT(AV$2:AV$49,(1+'Monthly Returns'!AV$2:AV$49))</f>
        <v>2.1731023739356901E-2</v>
      </c>
      <c r="AX24" s="107" cm="1">
        <f t="array" ref="AX24">(AW24*(1+Table6[[#This Row],[Νοε-24]]))/SUMPRODUCT(AW$2:AW$49,(1+'Monthly Returns'!AW$2:AW$49))</f>
        <v>2.0751337900932493E-2</v>
      </c>
      <c r="AY24" s="109">
        <v>2.446752701710208E-2</v>
      </c>
      <c r="AZ24" s="107" cm="1">
        <f t="array" ref="AZ24">(AY24*(1+Table6[[#This Row],[Ιαν-25]]))/SUMPRODUCT(AY$2:AY$49,(1+'Monthly Returns'!AY$2:AY$49))</f>
        <v>2.3817751771618084E-2</v>
      </c>
      <c r="BA24" s="107" cm="1">
        <f t="array" ref="BA24">(AZ24*(1+Table6[[#This Row],[Φεβ-25]]))/SUMPRODUCT(AZ$2:AZ$49,(1+'Monthly Returns'!AZ$2:AZ$49))</f>
        <v>2.4113674594921714E-2</v>
      </c>
      <c r="BB24" s="107" cm="1">
        <f t="array" ref="BB24">(BA24*(1+Table6[[#This Row],[Μαρ-25]]))/SUMPRODUCT(BA$2:BA$49,(1+'Monthly Returns'!BA$2:BA$49))</f>
        <v>2.5823042697071766E-2</v>
      </c>
      <c r="BC24" s="107" cm="1">
        <f t="array" ref="BC24">(BB24*(1+Table6[[#This Row],[Απρ-25]]))/SUMPRODUCT(BB$2:BB$49,(1+'Monthly Returns'!BB$2:BB$49))</f>
        <v>2.7877453528531312E-2</v>
      </c>
      <c r="BD24" s="109">
        <v>2.446752701710208E-2</v>
      </c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</row>
    <row r="25" spans="1:92">
      <c r="A25" s="110" t="s">
        <v>188</v>
      </c>
      <c r="B25" s="110" t="s">
        <v>189</v>
      </c>
      <c r="C25" s="109">
        <v>7.043682020074841E-3</v>
      </c>
      <c r="D25" s="107" cm="1">
        <f t="array" ref="D25">(Table684[[#This Row],[Ιαν-21]]*(1+Table6[[#This Row],[Ιαν-21]]))/SUMPRODUCT(C$2:C$49,(1+'Monthly Returns'!C$2:C$49))</f>
        <v>6.2419040041884295E-3</v>
      </c>
      <c r="E25" s="107" cm="1">
        <f t="array" ref="E25">(Table684[[#This Row],[Φεβ-21]]*(1+Table6[[#This Row],[Φεβ-21]]))/SUMPRODUCT(D$2:D$49,(1+'Monthly Returns'!D$2:D$49))</f>
        <v>6.2511021918968549E-3</v>
      </c>
      <c r="F25" s="107" cm="1">
        <f t="array" ref="F25">(Table684[[#This Row],[Μαρ-21]]*(1+Table6[[#This Row],[Μαρ-21]]))/SUMPRODUCT(E$2:E$49,(1+'Monthly Returns'!E$2:E$49))</f>
        <v>6.3052353768781825E-3</v>
      </c>
      <c r="G25" s="107" cm="1">
        <f t="array" ref="G25">(Table684[[#This Row],[Απρ-21]]*(1+Table6[[#This Row],[Απρ-21]]))/SUMPRODUCT(F$2:F$49,(1+'Monthly Returns'!F$2:F$49))</f>
        <v>6.5924961441129618E-3</v>
      </c>
      <c r="H25" s="109">
        <v>7.043682020074841E-3</v>
      </c>
      <c r="I25" s="107" cm="1">
        <f t="array" ref="I25">(Table684[[#This Row],[Ιουν-21]]*(1+Table6[[#This Row],[Ιουν-21]]))/SUMPRODUCT(H$2:H$49,(1+'Monthly Returns'!H$2:H$49))</f>
        <v>7.1433652009249343E-3</v>
      </c>
      <c r="J25" s="107" cm="1">
        <f t="array" ref="J25">(Table684[[#This Row],[Ιουλ-21]]*(1+Table6[[#This Row],[Ιουλ-21]]))/SUMPRODUCT(I$2:I$49,(1+'Monthly Returns'!I$2:I$49))</f>
        <v>7.1227944655520917E-3</v>
      </c>
      <c r="K25" s="107" cm="1">
        <f t="array" ref="K25">(Table684[[#This Row],[Αυγ-21]]*(1+Table6[[#This Row],[Αυγ-21]]))/SUMPRODUCT(J$2:J$49,(1+'Monthly Returns'!J$2:J$49))</f>
        <v>6.8068281101872187E-3</v>
      </c>
      <c r="L25" s="107" cm="1">
        <f t="array" ref="L25">(Table684[[#This Row],[Σεπ-21]]*(1+Table6[[#This Row],[Σεπ-21]]))/SUMPRODUCT(K$2:K$49,(1+'Monthly Returns'!K$2:K$49))</f>
        <v>7.1692330781157401E-3</v>
      </c>
      <c r="M25" s="107" cm="1">
        <f t="array" ref="M25">(Table684[[#This Row],[Οκτ-21]]*(1+Table6[[#This Row],[Οκτ-21]]))/SUMPRODUCT(L$2:L$49,(1+'Monthly Returns'!L$2:L$49))</f>
        <v>7.4112178733732421E-3</v>
      </c>
      <c r="N25" s="107" cm="1">
        <f t="array" ref="N25">(Table684[[#This Row],[Νοε-21]]*(1+Table6[[#This Row],[Νοε-21]]))/SUMPRODUCT(M$2:M$49,(1+'Monthly Returns'!M$2:M$49))</f>
        <v>7.026149666373784E-3</v>
      </c>
      <c r="O25" s="109">
        <v>7.043682020074841E-3</v>
      </c>
      <c r="P25" s="107" cm="1">
        <f t="array" ref="P25">(O25*(1+Table6[[#This Row],[Ιαν-22]]))/SUMPRODUCT(O$2:O$49,(1+'Monthly Returns'!O$2:O$49))</f>
        <v>6.333512229420391E-3</v>
      </c>
      <c r="Q25" s="107" cm="1">
        <f t="array" ref="Q25">(P25*(1+Table6[[#This Row],[Φεβ-22]]))/SUMPRODUCT(P$2:P$49,(1+'Monthly Returns'!P$2:P$49))</f>
        <v>6.5275433807292583E-3</v>
      </c>
      <c r="R25" s="107" cm="1">
        <f t="array" ref="R25">(Q25*(1+Table6[[#This Row],[Μαρ-22]]))/SUMPRODUCT(Q$2:Q$49,(1+'Monthly Returns'!Q$2:Q$49))</f>
        <v>6.3530759235890218E-3</v>
      </c>
      <c r="S25" s="107" cm="1">
        <f t="array" ref="S25">(R25*(1+Table6[[#This Row],[Απρ-22]]))/SUMPRODUCT(R$2:R$49,(1+'Monthly Returns'!R$2:R$49))</f>
        <v>6.4194787630407002E-3</v>
      </c>
      <c r="T25" s="109">
        <v>7.043682020074841E-3</v>
      </c>
      <c r="U25" s="107" cm="1">
        <f t="array" ref="U25">(T25*(1+Table6[[#This Row],[Ιουν-22]]))/SUMPRODUCT(T$2:T$49,(1+'Monthly Returns'!T$2:T$49))</f>
        <v>7.7063062964456098E-3</v>
      </c>
      <c r="V25" s="107" cm="1">
        <f t="array" ref="V25">(U25*(1+Table6[[#This Row],[Ιουλ-22]]))/SUMPRODUCT(U$2:U$49,(1+'Monthly Returns'!U$2:U$49))</f>
        <v>7.8268730418559022E-3</v>
      </c>
      <c r="W25" s="107" cm="1">
        <f t="array" ref="W25">(V25*(1+Table6[[#This Row],[Αυγ-22]]))/SUMPRODUCT(V$2:V$49,(1+'Monthly Returns'!V$2:V$49))</f>
        <v>7.899872939823898E-3</v>
      </c>
      <c r="X25" s="107" cm="1">
        <f t="array" ref="X25">(W25*(1+Table6[[#This Row],[Σεπ-22]]))/SUMPRODUCT(W$2:W$49,(1+'Monthly Returns'!W$2:W$49))</f>
        <v>7.8042888398559941E-3</v>
      </c>
      <c r="Y25" s="107" cm="1">
        <f t="array" ref="Y25">(X25*(1+Table6[[#This Row],[Οκτ-22]]))/SUMPRODUCT(X$2:X$49,(1+'Monthly Returns'!X$2:X$49))</f>
        <v>7.6741843115503234E-3</v>
      </c>
      <c r="Z25" s="107" cm="1">
        <f t="array" ref="Z25">(Y25*(1+Table6[[#This Row],[Νοε-22]]))/SUMPRODUCT(Y$2:Y$49,(1+'Monthly Returns'!Y$2:Y$49))</f>
        <v>7.5060135692087164E-3</v>
      </c>
      <c r="AA25" s="109">
        <v>7.043682020074841E-3</v>
      </c>
      <c r="AB25" s="107" cm="1">
        <f t="array" ref="AB25">(AA25*(1+Table6[[#This Row],[Ιαν-23]]))/SUMPRODUCT(AA$2:AA$49,(1+'Monthly Returns'!AA$2:AA$49))</f>
        <v>7.1370673448379624E-3</v>
      </c>
      <c r="AC25" s="107" cm="1">
        <f t="array" ref="AC25">(AB25*(1+Table6[[#This Row],[Φεβ-23]]))/SUMPRODUCT(AB$2:AB$49,(1+'Monthly Returns'!AB$2:AB$49))</f>
        <v>6.8106089596994815E-3</v>
      </c>
      <c r="AD25" s="107" cm="1">
        <f t="array" ref="AD25">(AC25*(1+Table6[[#This Row],[Μαρ-23]]))/SUMPRODUCT(AC$2:AC$49,(1+'Monthly Returns'!AC$2:AC$49))</f>
        <v>6.996723013183311E-3</v>
      </c>
      <c r="AE25" s="107" cm="1">
        <f t="array" ref="AE25">(AD25*(1+Table6[[#This Row],[Απρ-23]]))/SUMPRODUCT(AD$2:AD$49,(1+'Monthly Returns'!AD$2:AD$49))</f>
        <v>7.1455036242009861E-3</v>
      </c>
      <c r="AF25" s="109">
        <v>7.043682020074841E-3</v>
      </c>
      <c r="AG25" s="107" cm="1">
        <f t="array" ref="AG25">(AF25*(1+Table6[[#This Row],[Ιουν-23]]))/SUMPRODUCT(AF$2:AF$49,(1+'Monthly Returns'!AF$2:AF$49))</f>
        <v>6.8326358169610701E-3</v>
      </c>
      <c r="AH25" s="107" cm="1">
        <f t="array" ref="AH25">(AG25*(1+Table6[[#This Row],[Ιουλ-23]]))/SUMPRODUCT(AG$2:AG$49,(1+'Monthly Returns'!AG$2:AG$49))</f>
        <v>7.0333023357603127E-3</v>
      </c>
      <c r="AI25" s="107" cm="1">
        <f t="array" ref="AI25">(AH25*(1+Table6[[#This Row],[Αυγ-23]]))/SUMPRODUCT(AH$2:AH$49,(1+'Monthly Returns'!AH$2:AH$49))</f>
        <v>6.9579683566341616E-3</v>
      </c>
      <c r="AJ25" s="107" cm="1">
        <f t="array" ref="AJ25">(AI25*(1+Table6[[#This Row],[Σεπ-23]]))/SUMPRODUCT(AI$2:AI$49,(1+'Monthly Returns'!AI$2:AI$49))</f>
        <v>6.9942618745042163E-3</v>
      </c>
      <c r="AK25" s="107" cm="1">
        <f t="array" ref="AK25">(AJ25*(1+Table6[[#This Row],[Οκτ-23]]))/SUMPRODUCT(AJ$2:AJ$49,(1+'Monthly Returns'!AJ$2:AJ$49))</f>
        <v>7.2554807314037465E-3</v>
      </c>
      <c r="AL25" s="107" cm="1">
        <f t="array" ref="AL25">(AK25*(1+Table6[[#This Row],[Νοε-23]]))/SUMPRODUCT(AK$2:AK$49,(1+'Monthly Returns'!AK$2:AK$49))</f>
        <v>7.4481882608773576E-3</v>
      </c>
      <c r="AM25" s="109">
        <v>7.043682020074841E-3</v>
      </c>
      <c r="AN25" s="107" cm="1">
        <f t="array" ref="AN25">(AM25*(1+Table6[[#This Row],[Ιαν-24]]))/SUMPRODUCT(AM$2:AM$49,(1+'Monthly Returns'!AM$2:AM$49))</f>
        <v>7.4260525143920713E-3</v>
      </c>
      <c r="AO25" s="107" cm="1">
        <f t="array" ref="AO25">(AN25*(1+Table6[[#This Row],[Φεβ-24]]))/SUMPRODUCT(AN$2:AN$49,(1+'Monthly Returns'!AN$2:AN$49))</f>
        <v>7.023461947253719E-3</v>
      </c>
      <c r="AP25" s="107" cm="1">
        <f t="array" ref="AP25">(AO25*(1+Table6[[#This Row],[Μαρ-24]]))/SUMPRODUCT(AO$2:AO$49,(1+'Monthly Returns'!AO$2:AO$49))</f>
        <v>7.0465242784226766E-3</v>
      </c>
      <c r="AQ25" s="107" cm="1">
        <f t="array" ref="AQ25">(AP25*(1+Table6[[#This Row],[Απρ-24]]))/SUMPRODUCT(AP$2:AP$49,(1+'Monthly Returns'!AP$2:AP$49))</f>
        <v>6.5076555325350232E-3</v>
      </c>
      <c r="AR25" s="109">
        <v>7.043682020074841E-3</v>
      </c>
      <c r="AS25" s="107" cm="1">
        <f t="array" ref="AS25">(AR25*(1+Table6[[#This Row],[Ιουν-24]]))/SUMPRODUCT(AR$2:AR$49,(1+'Monthly Returns'!AR$2:AR$49))</f>
        <v>7.126440525048113E-3</v>
      </c>
      <c r="AT25" s="107" cm="1">
        <f t="array" ref="AT25">(AS25*(1+Table6[[#This Row],[Ιουλ-24]]))/SUMPRODUCT(AS$2:AS$49,(1+'Monthly Returns'!AS$2:AS$49))</f>
        <v>7.023837836675889E-3</v>
      </c>
      <c r="AU25" s="107" cm="1">
        <f t="array" ref="AU25">(AT25*(1+Table6[[#This Row],[Αυγ-24]]))/SUMPRODUCT(AT$2:AT$49,(1+'Monthly Returns'!AT$2:AT$49))</f>
        <v>7.0243936120158246E-3</v>
      </c>
      <c r="AV25" s="107" cm="1">
        <f t="array" ref="AV25">(AU25*(1+Table6[[#This Row],[Σεπ-24]]))/SUMPRODUCT(AU$2:AU$49,(1+'Monthly Returns'!AU$2:AU$49))</f>
        <v>7.1818204169512134E-3</v>
      </c>
      <c r="AW25" s="107" cm="1">
        <f t="array" ref="AW25">(AV25*(1+Table6[[#This Row],[Οκτ-24]]))/SUMPRODUCT(AV$2:AV$49,(1+'Monthly Returns'!AV$2:AV$49))</f>
        <v>7.0215802626212142E-3</v>
      </c>
      <c r="AX25" s="107" cm="1">
        <f t="array" ref="AX25">(AW25*(1+Table6[[#This Row],[Νοε-24]]))/SUMPRODUCT(AW$2:AW$49,(1+'Monthly Returns'!AW$2:AW$49))</f>
        <v>7.3898087642786086E-3</v>
      </c>
      <c r="AY25" s="109">
        <v>7.043682020074841E-3</v>
      </c>
      <c r="AZ25" s="107" cm="1">
        <f t="array" ref="AZ25">(AY25*(1+Table6[[#This Row],[Ιαν-25]]))/SUMPRODUCT(AY$2:AY$49,(1+'Monthly Returns'!AY$2:AY$49))</f>
        <v>6.6733807698372517E-3</v>
      </c>
      <c r="BA25" s="107" cm="1">
        <f t="array" ref="BA25">(AZ25*(1+Table6[[#This Row],[Φεβ-25]]))/SUMPRODUCT(AZ$2:AZ$49,(1+'Monthly Returns'!AZ$2:AZ$49))</f>
        <v>6.5726437531353462E-3</v>
      </c>
      <c r="BB25" s="107" cm="1">
        <f t="array" ref="BB25">(BA25*(1+Table6[[#This Row],[Μαρ-25]]))/SUMPRODUCT(BA$2:BA$49,(1+'Monthly Returns'!BA$2:BA$49))</f>
        <v>6.4663619898409847E-3</v>
      </c>
      <c r="BC25" s="107" cm="1">
        <f t="array" ref="BC25">(BB25*(1+Table6[[#This Row],[Απρ-25]]))/SUMPRODUCT(BB$2:BB$49,(1+'Monthly Returns'!BB$2:BB$49))</f>
        <v>6.6824007026776537E-3</v>
      </c>
      <c r="BD25" s="109">
        <v>7.043682020074841E-3</v>
      </c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</row>
    <row r="26" spans="1:92">
      <c r="A26" s="110" t="s">
        <v>61</v>
      </c>
      <c r="B26" s="110" t="s">
        <v>62</v>
      </c>
      <c r="C26" s="109">
        <v>4.701185604868325E-2</v>
      </c>
      <c r="D26" s="107" cm="1">
        <f t="array" ref="D26">(Table684[[#This Row],[Ιαν-21]]*(1+Table6[[#This Row],[Ιαν-21]]))/SUMPRODUCT(C$2:C$49,(1+'Monthly Returns'!C$2:C$49))</f>
        <v>4.7465329670622315E-2</v>
      </c>
      <c r="E26" s="107" cm="1">
        <f t="array" ref="E26">(Table684[[#This Row],[Φεβ-21]]*(1+Table6[[#This Row],[Φεβ-21]]))/SUMPRODUCT(D$2:D$49,(1+'Monthly Returns'!D$2:D$49))</f>
        <v>4.3489623074059729E-2</v>
      </c>
      <c r="F26" s="107" cm="1">
        <f t="array" ref="F26">(Table684[[#This Row],[Μαρ-21]]*(1+Table6[[#This Row],[Μαρ-21]]))/SUMPRODUCT(E$2:E$49,(1+'Monthly Returns'!E$2:E$49))</f>
        <v>4.2709501121974865E-2</v>
      </c>
      <c r="G26" s="107" cm="1">
        <f t="array" ref="G26">(Table684[[#This Row],[Απρ-21]]*(1+Table6[[#This Row],[Απρ-21]]))/SUMPRODUCT(F$2:F$49,(1+'Monthly Returns'!F$2:F$49))</f>
        <v>4.1249678452499966E-2</v>
      </c>
      <c r="H26" s="109">
        <v>4.701185604868325E-2</v>
      </c>
      <c r="I26" s="107" cm="1">
        <f t="array" ref="I26">(Table684[[#This Row],[Ιουν-21]]*(1+Table6[[#This Row],[Ιουν-21]]))/SUMPRODUCT(H$2:H$49,(1+'Monthly Returns'!H$2:H$49))</f>
        <v>5.1708904458243825E-2</v>
      </c>
      <c r="J26" s="107" cm="1">
        <f t="array" ref="J26">(Table684[[#This Row],[Ιουλ-21]]*(1+Table6[[#This Row],[Ιουλ-21]]))/SUMPRODUCT(I$2:I$49,(1+'Monthly Returns'!I$2:I$49))</f>
        <v>5.2351187390037995E-2</v>
      </c>
      <c r="K26" s="107" cm="1">
        <f t="array" ref="K26">(Table684[[#This Row],[Αυγ-21]]*(1+Table6[[#This Row],[Αυγ-21]]))/SUMPRODUCT(J$2:J$49,(1+'Monthly Returns'!J$2:J$49))</f>
        <v>5.3211809643669464E-2</v>
      </c>
      <c r="L26" s="107" cm="1">
        <f t="array" ref="L26">(Table684[[#This Row],[Σεπ-21]]*(1+Table6[[#This Row],[Σεπ-21]]))/SUMPRODUCT(K$2:K$49,(1+'Monthly Returns'!K$2:K$49))</f>
        <v>5.0669146775310953E-2</v>
      </c>
      <c r="M26" s="107" cm="1">
        <f t="array" ref="M26">(Table684[[#This Row],[Οκτ-21]]*(1+Table6[[#This Row],[Οκτ-21]]))/SUMPRODUCT(L$2:L$49,(1+'Monthly Returns'!L$2:L$49))</f>
        <v>5.1278966485851278E-2</v>
      </c>
      <c r="N26" s="107" cm="1">
        <f t="array" ref="N26">(Table684[[#This Row],[Νοε-21]]*(1+Table6[[#This Row],[Νοε-21]]))/SUMPRODUCT(M$2:M$49,(1+'Monthly Returns'!M$2:M$49))</f>
        <v>5.5093035068792207E-2</v>
      </c>
      <c r="O26" s="109">
        <v>4.701185604868325E-2</v>
      </c>
      <c r="P26" s="107" cm="1">
        <f t="array" ref="P26">(O26*(1+Table6[[#This Row],[Ιαν-22]]))/SUMPRODUCT(O$2:O$49,(1+'Monthly Returns'!O$2:O$49))</f>
        <v>4.4268189941534426E-2</v>
      </c>
      <c r="Q26" s="107" cm="1">
        <f t="array" ref="Q26">(P26*(1+Table6[[#This Row],[Φεβ-22]]))/SUMPRODUCT(P$2:P$49,(1+'Monthly Returns'!P$2:P$49))</f>
        <v>4.5601421732185371E-2</v>
      </c>
      <c r="R26" s="107" cm="1">
        <f t="array" ref="R26">(Q26*(1+Table6[[#This Row],[Μαρ-22]]))/SUMPRODUCT(Q$2:Q$49,(1+'Monthly Returns'!Q$2:Q$49))</f>
        <v>4.8658700425255226E-2</v>
      </c>
      <c r="S26" s="107" cm="1">
        <f t="array" ref="S26">(R26*(1+Table6[[#This Row],[Απρ-22]]))/SUMPRODUCT(R$2:R$49,(1+'Monthly Returns'!R$2:R$49))</f>
        <v>4.7546226359544995E-2</v>
      </c>
      <c r="T26" s="109">
        <v>4.701185604868325E-2</v>
      </c>
      <c r="U26" s="107" cm="1">
        <f t="array" ref="U26">(T26*(1+Table6[[#This Row],[Ιουν-22]]))/SUMPRODUCT(T$2:T$49,(1+'Monthly Returns'!T$2:T$49))</f>
        <v>5.1260853687171495E-2</v>
      </c>
      <c r="V26" s="107" cm="1">
        <f t="array" ref="V26">(U26*(1+Table6[[#This Row],[Ιουλ-22]]))/SUMPRODUCT(U$2:U$49,(1+'Monthly Returns'!U$2:U$49))</f>
        <v>4.9232970652969839E-2</v>
      </c>
      <c r="W26" s="107" cm="1">
        <f t="array" ref="W26">(V26*(1+Table6[[#This Row],[Αυγ-22]]))/SUMPRODUCT(V$2:V$49,(1+'Monthly Returns'!V$2:V$49))</f>
        <v>5.1378308795580231E-2</v>
      </c>
      <c r="X26" s="107" cm="1">
        <f t="array" ref="X26">(W26*(1+Table6[[#This Row],[Σεπ-22]]))/SUMPRODUCT(W$2:W$49,(1+'Monthly Returns'!W$2:W$49))</f>
        <v>5.659505784041885E-2</v>
      </c>
      <c r="Y26" s="107" cm="1">
        <f t="array" ref="Y26">(X26*(1+Table6[[#This Row],[Οκτ-22]]))/SUMPRODUCT(X$2:X$49,(1+'Monthly Returns'!X$2:X$49))</f>
        <v>5.2712001289487533E-2</v>
      </c>
      <c r="Z26" s="107" cm="1">
        <f t="array" ref="Z26">(Y26*(1+Table6[[#This Row],[Νοε-22]]))/SUMPRODUCT(Y$2:Y$49,(1+'Monthly Returns'!Y$2:Y$49))</f>
        <v>4.5662009168283973E-2</v>
      </c>
      <c r="AA26" s="109">
        <v>4.701185604868325E-2</v>
      </c>
      <c r="AB26" s="107" cm="1">
        <f t="array" ref="AB26">(AA26*(1+Table6[[#This Row],[Ιαν-23]]))/SUMPRODUCT(AA$2:AA$49,(1+'Monthly Returns'!AA$2:AA$49))</f>
        <v>4.1931856252542768E-2</v>
      </c>
      <c r="AC26" s="107" cm="1">
        <f t="array" ref="AC26">(AB26*(1+Table6[[#This Row],[Φεβ-23]]))/SUMPRODUCT(AB$2:AB$49,(1+'Monthly Returns'!AB$2:AB$49))</f>
        <v>3.9366994234708783E-2</v>
      </c>
      <c r="AD26" s="107" cm="1">
        <f t="array" ref="AD26">(AC26*(1+Table6[[#This Row],[Μαρ-23]]))/SUMPRODUCT(AC$2:AC$49,(1+'Monthly Returns'!AC$2:AC$49))</f>
        <v>3.9070641500829804E-2</v>
      </c>
      <c r="AE26" s="107" cm="1">
        <f t="array" ref="AE26">(AD26*(1+Table6[[#This Row],[Απρ-23]]))/SUMPRODUCT(AD$2:AD$49,(1+'Monthly Returns'!AD$2:AD$49))</f>
        <v>4.1216926702568275E-2</v>
      </c>
      <c r="AF26" s="109">
        <v>4.701185604868325E-2</v>
      </c>
      <c r="AG26" s="107" cm="1">
        <f t="array" ref="AG26">(AF26*(1+Table6[[#This Row],[Ιουν-23]]))/SUMPRODUCT(AF$2:AF$49,(1+'Monthly Returns'!AF$2:AF$49))</f>
        <v>4.3060381989035904E-2</v>
      </c>
      <c r="AH26" s="107" cm="1">
        <f t="array" ref="AH26">(AG26*(1+Table6[[#This Row],[Ιουλ-23]]))/SUMPRODUCT(AG$2:AG$49,(1+'Monthly Returns'!AG$2:AG$49))</f>
        <v>4.2599600426915234E-2</v>
      </c>
      <c r="AI26" s="107" cm="1">
        <f t="array" ref="AI26">(AH26*(1+Table6[[#This Row],[Αυγ-23]]))/SUMPRODUCT(AH$2:AH$49,(1+'Monthly Returns'!AH$2:AH$49))</f>
        <v>4.1774207600194235E-2</v>
      </c>
      <c r="AJ26" s="107" cm="1">
        <f t="array" ref="AJ26">(AI26*(1+Table6[[#This Row],[Σεπ-23]]))/SUMPRODUCT(AI$2:AI$49,(1+'Monthly Returns'!AI$2:AI$49))</f>
        <v>4.0355499667790173E-2</v>
      </c>
      <c r="AK26" s="107" cm="1">
        <f t="array" ref="AK26">(AJ26*(1+Table6[[#This Row],[Οκτ-23]]))/SUMPRODUCT(AJ$2:AJ$49,(1+'Monthly Returns'!AJ$2:AJ$49))</f>
        <v>3.9431294008999286E-2</v>
      </c>
      <c r="AL26" s="107" cm="1">
        <f t="array" ref="AL26">(AK26*(1+Table6[[#This Row],[Νοε-23]]))/SUMPRODUCT(AK$2:AK$49,(1+'Monthly Returns'!AK$2:AK$49))</f>
        <v>3.6940754986596359E-2</v>
      </c>
      <c r="AM26" s="109">
        <v>4.701185604868325E-2</v>
      </c>
      <c r="AN26" s="107" cm="1">
        <f t="array" ref="AN26">(AM26*(1+Table6[[#This Row],[Ιαν-24]]))/SUMPRODUCT(AM$2:AM$49,(1+'Monthly Returns'!AM$2:AM$49))</f>
        <v>4.6495063716022515E-2</v>
      </c>
      <c r="AO26" s="107" cm="1">
        <f t="array" ref="AO26">(AN26*(1+Table6[[#This Row],[Φεβ-24]]))/SUMPRODUCT(AN$2:AN$49,(1+'Monthly Returns'!AN$2:AN$49))</f>
        <v>4.1219553298490808E-2</v>
      </c>
      <c r="AP26" s="107" cm="1">
        <f t="array" ref="AP26">(AO26*(1+Table6[[#This Row],[Μαρ-24]]))/SUMPRODUCT(AO$2:AO$49,(1+'Monthly Returns'!AO$2:AO$49))</f>
        <v>3.9526629707792499E-2</v>
      </c>
      <c r="AQ26" s="107" cm="1">
        <f t="array" ref="AQ26">(AP26*(1+Table6[[#This Row],[Απρ-24]]))/SUMPRODUCT(AP$2:AP$49,(1+'Monthly Returns'!AP$2:AP$49))</f>
        <v>3.7775506136280196E-2</v>
      </c>
      <c r="AR26" s="109">
        <v>4.701185604868325E-2</v>
      </c>
      <c r="AS26" s="107" cm="1">
        <f t="array" ref="AS26">(AR26*(1+Table6[[#This Row],[Ιουν-24]]))/SUMPRODUCT(AR$2:AR$49,(1+'Monthly Returns'!AR$2:AR$49))</f>
        <v>5.2277827163039046E-2</v>
      </c>
      <c r="AT26" s="107" cm="1">
        <f t="array" ref="AT26">(AS26*(1+Table6[[#This Row],[Ιουλ-24]]))/SUMPRODUCT(AS$2:AS$49,(1+'Monthly Returns'!AS$2:AS$49))</f>
        <v>5.8934570321366814E-2</v>
      </c>
      <c r="AU26" s="107" cm="1">
        <f t="array" ref="AU26">(AT26*(1+Table6[[#This Row],[Αυγ-24]]))/SUMPRODUCT(AT$2:AT$49,(1+'Monthly Returns'!AT$2:AT$49))</f>
        <v>5.8371186117687213E-2</v>
      </c>
      <c r="AV26" s="107" cm="1">
        <f t="array" ref="AV26">(AU26*(1+Table6[[#This Row],[Σεπ-24]]))/SUMPRODUCT(AU$2:AU$49,(1+'Monthly Returns'!AU$2:AU$49))</f>
        <v>5.4927436177217591E-2</v>
      </c>
      <c r="AW26" s="107" cm="1">
        <f t="array" ref="AW26">(AV26*(1+Table6[[#This Row],[Οκτ-24]]))/SUMPRODUCT(AV$2:AV$49,(1+'Monthly Returns'!AV$2:AV$49))</f>
        <v>5.5713122936195424E-2</v>
      </c>
      <c r="AX26" s="107" cm="1">
        <f t="array" ref="AX26">(AW26*(1+Table6[[#This Row],[Νοε-24]]))/SUMPRODUCT(AW$2:AW$49,(1+'Monthly Returns'!AW$2:AW$49))</f>
        <v>5.2676159629090745E-2</v>
      </c>
      <c r="AY26" s="109">
        <v>4.701185604868325E-2</v>
      </c>
      <c r="AZ26" s="107" cm="1">
        <f t="array" ref="AZ26">(AY26*(1+Table6[[#This Row],[Ιαν-25]]))/SUMPRODUCT(AY$2:AY$49,(1+'Monthly Returns'!AY$2:AY$49))</f>
        <v>4.8615673458416983E-2</v>
      </c>
      <c r="BA26" s="107" cm="1">
        <f t="array" ref="BA26">(AZ26*(1+Table6[[#This Row],[Φεβ-25]]))/SUMPRODUCT(AZ$2:AZ$49,(1+'Monthly Returns'!AZ$2:AZ$49))</f>
        <v>4.8867863389481625E-2</v>
      </c>
      <c r="BB26" s="107" cm="1">
        <f t="array" ref="BB26">(BA26*(1+Table6[[#This Row],[Μαρ-25]]))/SUMPRODUCT(BA$2:BA$49,(1+'Monthly Returns'!BA$2:BA$49))</f>
        <v>4.9172487045188139E-2</v>
      </c>
      <c r="BC26" s="107" cm="1">
        <f t="array" ref="BC26">(BB26*(1+Table6[[#This Row],[Απρ-25]]))/SUMPRODUCT(BB$2:BB$49,(1+'Monthly Returns'!BB$2:BB$49))</f>
        <v>4.6325731762927147E-2</v>
      </c>
      <c r="BD26" s="109">
        <v>4.701185604868325E-2</v>
      </c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</row>
    <row r="27" spans="1:92">
      <c r="A27" s="110" t="s">
        <v>83</v>
      </c>
      <c r="B27" s="110" t="s">
        <v>84</v>
      </c>
      <c r="C27" s="109">
        <v>4.5381387052775155E-2</v>
      </c>
      <c r="D27" s="107" cm="1">
        <f t="array" ref="D27">(Table684[[#This Row],[Ιαν-21]]*(1+Table6[[#This Row],[Ιαν-21]]))/SUMPRODUCT(C$2:C$49,(1+'Monthly Returns'!C$2:C$49))</f>
        <v>4.7489622499512017E-2</v>
      </c>
      <c r="E27" s="107" cm="1">
        <f t="array" ref="E27">(Table684[[#This Row],[Φεβ-21]]*(1+Table6[[#This Row],[Φεβ-21]]))/SUMPRODUCT(D$2:D$49,(1+'Monthly Returns'!D$2:D$49))</f>
        <v>4.406405078060481E-2</v>
      </c>
      <c r="F27" s="107" cm="1">
        <f t="array" ref="F27">(Table684[[#This Row],[Μαρ-21]]*(1+Table6[[#This Row],[Μαρ-21]]))/SUMPRODUCT(E$2:E$49,(1+'Monthly Returns'!E$2:E$49))</f>
        <v>4.3810108675520251E-2</v>
      </c>
      <c r="G27" s="107" cm="1">
        <f t="array" ref="G27">(Table684[[#This Row],[Απρ-21]]*(1+Table6[[#This Row],[Απρ-21]]))/SUMPRODUCT(F$2:F$49,(1+'Monthly Returns'!F$2:F$49))</f>
        <v>4.4897172700716602E-2</v>
      </c>
      <c r="H27" s="109">
        <v>4.5381387052775155E-2</v>
      </c>
      <c r="I27" s="107" cm="1">
        <f t="array" ref="I27">(Table684[[#This Row],[Ιουν-21]]*(1+Table6[[#This Row],[Ιουν-21]]))/SUMPRODUCT(H$2:H$49,(1+'Monthly Returns'!H$2:H$49))</f>
        <v>4.8266724303679377E-2</v>
      </c>
      <c r="J27" s="107" cm="1">
        <f t="array" ref="J27">(Table684[[#This Row],[Ιουλ-21]]*(1+Table6[[#This Row],[Ιουλ-21]]))/SUMPRODUCT(I$2:I$49,(1+'Monthly Returns'!I$2:I$49))</f>
        <v>4.5654877303846354E-2</v>
      </c>
      <c r="K27" s="107" cm="1">
        <f t="array" ref="K27">(Table684[[#This Row],[Αυγ-21]]*(1+Table6[[#This Row],[Αυγ-21]]))/SUMPRODUCT(J$2:J$49,(1+'Monthly Returns'!J$2:J$49))</f>
        <v>4.5884956700510925E-2</v>
      </c>
      <c r="L27" s="107" cm="1">
        <f t="array" ref="L27">(Table684[[#This Row],[Σεπ-21]]*(1+Table6[[#This Row],[Σεπ-21]]))/SUMPRODUCT(K$2:K$49,(1+'Monthly Returns'!K$2:K$49))</f>
        <v>4.935648915375565E-2</v>
      </c>
      <c r="M27" s="107" cm="1">
        <f t="array" ref="M27">(Table684[[#This Row],[Οκτ-21]]*(1+Table6[[#This Row],[Οκτ-21]]))/SUMPRODUCT(L$2:L$49,(1+'Monthly Returns'!L$2:L$49))</f>
        <v>4.8826647723638733E-2</v>
      </c>
      <c r="N27" s="107" cm="1">
        <f t="array" ref="N27">(Table684[[#This Row],[Νοε-21]]*(1+Table6[[#This Row],[Νοε-21]]))/SUMPRODUCT(M$2:M$49,(1+'Monthly Returns'!M$2:M$49))</f>
        <v>4.5761293264124397E-2</v>
      </c>
      <c r="O27" s="109">
        <v>4.5381387052775155E-2</v>
      </c>
      <c r="P27" s="107" cm="1">
        <f t="array" ref="P27">(O27*(1+Table6[[#This Row],[Ιαν-22]]))/SUMPRODUCT(O$2:O$49,(1+'Monthly Returns'!O$2:O$49))</f>
        <v>4.5795033669754764E-2</v>
      </c>
      <c r="Q27" s="107" cm="1">
        <f t="array" ref="Q27">(P27*(1+Table6[[#This Row],[Φεβ-22]]))/SUMPRODUCT(P$2:P$49,(1+'Monthly Returns'!P$2:P$49))</f>
        <v>5.0631351893511894E-2</v>
      </c>
      <c r="R27" s="107" cm="1">
        <f t="array" ref="R27">(Q27*(1+Table6[[#This Row],[Μαρ-22]]))/SUMPRODUCT(Q$2:Q$49,(1+'Monthly Returns'!Q$2:Q$49))</f>
        <v>5.533747656049133E-2</v>
      </c>
      <c r="S27" s="107" cm="1">
        <f t="array" ref="S27">(R27*(1+Table6[[#This Row],[Απρ-22]]))/SUMPRODUCT(R$2:R$49,(1+'Monthly Returns'!R$2:R$49))</f>
        <v>5.8209345993489356E-2</v>
      </c>
      <c r="T27" s="109">
        <v>4.5381387052775155E-2</v>
      </c>
      <c r="U27" s="107" cm="1">
        <f t="array" ref="U27">(T27*(1+Table6[[#This Row],[Ιουν-22]]))/SUMPRODUCT(T$2:T$49,(1+'Monthly Returns'!T$2:T$49))</f>
        <v>5.0291228497010065E-2</v>
      </c>
      <c r="V27" s="107" cm="1">
        <f t="array" ref="V27">(U27*(1+Table6[[#This Row],[Ιουλ-22]]))/SUMPRODUCT(U$2:U$49,(1+'Monthly Returns'!U$2:U$49))</f>
        <v>4.8874975721423956E-2</v>
      </c>
      <c r="W27" s="107" cm="1">
        <f t="array" ref="W27">(V27*(1+Table6[[#This Row],[Αυγ-22]]))/SUMPRODUCT(V$2:V$49,(1+'Monthly Returns'!V$2:V$49))</f>
        <v>4.9325673778698439E-2</v>
      </c>
      <c r="X27" s="107" cm="1">
        <f t="array" ref="X27">(W27*(1+Table6[[#This Row],[Σεπ-22]]))/SUMPRODUCT(W$2:W$49,(1+'Monthly Returns'!W$2:W$49))</f>
        <v>4.780768037135761E-2</v>
      </c>
      <c r="Y27" s="107" cm="1">
        <f t="array" ref="Y27">(X27*(1+Table6[[#This Row],[Οκτ-22]]))/SUMPRODUCT(X$2:X$49,(1+'Monthly Returns'!X$2:X$49))</f>
        <v>4.6819329659325462E-2</v>
      </c>
      <c r="Z27" s="107" cm="1">
        <f t="array" ref="Z27">(Y27*(1+Table6[[#This Row],[Νοε-22]]))/SUMPRODUCT(Y$2:Y$49,(1+'Monthly Returns'!Y$2:Y$49))</f>
        <v>4.7231577467077956E-2</v>
      </c>
      <c r="AA27" s="109">
        <v>4.5381387052775155E-2</v>
      </c>
      <c r="AB27" s="107" cm="1">
        <f t="array" ref="AB27">(AA27*(1+Table6[[#This Row],[Ιαν-23]]))/SUMPRODUCT(AA$2:AA$49,(1+'Monthly Returns'!AA$2:AA$49))</f>
        <v>3.9458038428736859E-2</v>
      </c>
      <c r="AC27" s="107" cm="1">
        <f t="array" ref="AC27">(AB27*(1+Table6[[#This Row],[Φεβ-23]]))/SUMPRODUCT(AB$2:AB$49,(1+'Monthly Returns'!AB$2:AB$49))</f>
        <v>4.0630694988701609E-2</v>
      </c>
      <c r="AD27" s="107" cm="1">
        <f t="array" ref="AD27">(AC27*(1+Table6[[#This Row],[Μαρ-23]]))/SUMPRODUCT(AC$2:AC$49,(1+'Monthly Returns'!AC$2:AC$49))</f>
        <v>4.1595348581916804E-2</v>
      </c>
      <c r="AE27" s="107" cm="1">
        <f t="array" ref="AE27">(AD27*(1+Table6[[#This Row],[Απρ-23]]))/SUMPRODUCT(AD$2:AD$49,(1+'Monthly Returns'!AD$2:AD$49))</f>
        <v>4.2471750451126701E-2</v>
      </c>
      <c r="AF27" s="109">
        <v>4.5381387052775155E-2</v>
      </c>
      <c r="AG27" s="107" cm="1">
        <f t="array" ref="AG27">(AF27*(1+Table6[[#This Row],[Ιουν-23]]))/SUMPRODUCT(AF$2:AF$49,(1+'Monthly Returns'!AF$2:AF$49))</f>
        <v>4.25523534751212E-2</v>
      </c>
      <c r="AH27" s="107" cm="1">
        <f t="array" ref="AH27">(AG27*(1+Table6[[#This Row],[Ιουλ-23]]))/SUMPRODUCT(AG$2:AG$49,(1+'Monthly Returns'!AG$2:AG$49))</f>
        <v>4.1480019009160367E-2</v>
      </c>
      <c r="AI27" s="107" cm="1">
        <f t="array" ref="AI27">(AH27*(1+Table6[[#This Row],[Αυγ-23]]))/SUMPRODUCT(AH$2:AH$49,(1+'Monthly Returns'!AH$2:AH$49))</f>
        <v>4.0570611055340933E-2</v>
      </c>
      <c r="AJ27" s="107" cm="1">
        <f t="array" ref="AJ27">(AI27*(1+Table6[[#This Row],[Σεπ-23]]))/SUMPRODUCT(AI$2:AI$49,(1+'Monthly Returns'!AI$2:AI$49))</f>
        <v>4.2351095890245744E-2</v>
      </c>
      <c r="AK27" s="107" cm="1">
        <f t="array" ref="AK27">(AJ27*(1+Table6[[#This Row],[Οκτ-23]]))/SUMPRODUCT(AJ$2:AJ$49,(1+'Monthly Returns'!AJ$2:AJ$49))</f>
        <v>4.0504206366774521E-2</v>
      </c>
      <c r="AL27" s="107" cm="1">
        <f t="array" ref="AL27">(AK27*(1+Table6[[#This Row],[Νοε-23]]))/SUMPRODUCT(AK$2:AK$49,(1+'Monthly Returns'!AK$2:AK$49))</f>
        <v>3.7108119464446004E-2</v>
      </c>
      <c r="AM27" s="109">
        <v>4.5381387052775155E-2</v>
      </c>
      <c r="AN27" s="107" cm="1">
        <f t="array" ref="AN27">(AM27*(1+Table6[[#This Row],[Ιαν-24]]))/SUMPRODUCT(AM$2:AM$49,(1+'Monthly Returns'!AM$2:AM$49))</f>
        <v>4.490482556820638E-2</v>
      </c>
      <c r="AO27" s="107" cm="1">
        <f t="array" ref="AO27">(AN27*(1+Table6[[#This Row],[Φεβ-24]]))/SUMPRODUCT(AN$2:AN$49,(1+'Monthly Returns'!AN$2:AN$49))</f>
        <v>4.1775931234888618E-2</v>
      </c>
      <c r="AP27" s="107" cm="1">
        <f t="array" ref="AP27">(AO27*(1+Table6[[#This Row],[Μαρ-24]]))/SUMPRODUCT(AO$2:AO$49,(1+'Monthly Returns'!AO$2:AO$49))</f>
        <v>4.2388222744455889E-2</v>
      </c>
      <c r="AQ27" s="107" cm="1">
        <f t="array" ref="AQ27">(AP27*(1+Table6[[#This Row],[Απρ-24]]))/SUMPRODUCT(AP$2:AP$49,(1+'Monthly Returns'!AP$2:AP$49))</f>
        <v>4.8059279908529685E-2</v>
      </c>
      <c r="AR27" s="109">
        <v>4.5381387052775155E-2</v>
      </c>
      <c r="AS27" s="107" cm="1">
        <f t="array" ref="AS27">(AR27*(1+Table6[[#This Row],[Ιουν-24]]))/SUMPRODUCT(AR$2:AR$49,(1+'Monthly Returns'!AR$2:AR$49))</f>
        <v>4.6782373398004666E-2</v>
      </c>
      <c r="AT27" s="107" cm="1">
        <f t="array" ref="AT27">(AS27*(1+Table6[[#This Row],[Ιουλ-24]]))/SUMPRODUCT(AS$2:AS$49,(1+'Monthly Returns'!AS$2:AS$49))</f>
        <v>4.5858531094326319E-2</v>
      </c>
      <c r="AU27" s="107" cm="1">
        <f t="array" ref="AU27">(AT27*(1+Table6[[#This Row],[Αυγ-24]]))/SUMPRODUCT(AT$2:AT$49,(1+'Monthly Returns'!AT$2:AT$49))</f>
        <v>4.8201701381108499E-2</v>
      </c>
      <c r="AV27" s="107" cm="1">
        <f t="array" ref="AV27">(AU27*(1+Table6[[#This Row],[Σεπ-24]]))/SUMPRODUCT(AU$2:AU$49,(1+'Monthly Returns'!AU$2:AU$49))</f>
        <v>4.2614949103530177E-2</v>
      </c>
      <c r="AW27" s="107" cm="1">
        <f t="array" ref="AW27">(AV27*(1+Table6[[#This Row],[Οκτ-24]]))/SUMPRODUCT(AV$2:AV$49,(1+'Monthly Returns'!AV$2:AV$49))</f>
        <v>4.0901368099761422E-2</v>
      </c>
      <c r="AX27" s="107" cm="1">
        <f t="array" ref="AX27">(AW27*(1+Table6[[#This Row],[Νοε-24]]))/SUMPRODUCT(AW$2:AW$49,(1+'Monthly Returns'!AW$2:AW$49))</f>
        <v>3.9258288648265763E-2</v>
      </c>
      <c r="AY27" s="109">
        <v>4.5381387052775155E-2</v>
      </c>
      <c r="AZ27" s="107" cm="1">
        <f t="array" ref="AZ27">(AY27*(1+Table6[[#This Row],[Ιαν-25]]))/SUMPRODUCT(AY$2:AY$49,(1+'Monthly Returns'!AY$2:AY$49))</f>
        <v>4.5146003679644241E-2</v>
      </c>
      <c r="BA27" s="107" cm="1">
        <f t="array" ref="BA27">(AZ27*(1+Table6[[#This Row],[Φεβ-25]]))/SUMPRODUCT(AZ$2:AZ$49,(1+'Monthly Returns'!AZ$2:AZ$49))</f>
        <v>4.6618305637743607E-2</v>
      </c>
      <c r="BB27" s="107" cm="1">
        <f t="array" ref="BB27">(BA27*(1+Table6[[#This Row],[Μαρ-25]]))/SUMPRODUCT(BA$2:BA$49,(1+'Monthly Returns'!BA$2:BA$49))</f>
        <v>4.4209593573772021E-2</v>
      </c>
      <c r="BC27" s="107" cm="1">
        <f t="array" ref="BC27">(BB27*(1+Table6[[#This Row],[Απρ-25]]))/SUMPRODUCT(BB$2:BB$49,(1+'Monthly Returns'!BB$2:BB$49))</f>
        <v>4.1176310680159964E-2</v>
      </c>
      <c r="BD27" s="109">
        <v>4.5381387052775155E-2</v>
      </c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</row>
    <row r="28" spans="1:92">
      <c r="A28" s="110" t="s">
        <v>150</v>
      </c>
      <c r="B28" s="111" t="s">
        <v>151</v>
      </c>
      <c r="C28" s="109">
        <v>2.6359248767180786E-2</v>
      </c>
      <c r="D28" s="107" cm="1">
        <f t="array" ref="D28">(Table684[[#This Row],[Ιαν-21]]*(1+Table6[[#This Row],[Ιαν-21]]))/SUMPRODUCT(C$2:C$49,(1+'Monthly Returns'!C$2:C$49))</f>
        <v>2.61310320766566E-2</v>
      </c>
      <c r="E28" s="107" cm="1">
        <f t="array" ref="E28">(Table684[[#This Row],[Φεβ-21]]*(1+Table6[[#This Row],[Φεβ-21]]))/SUMPRODUCT(D$2:D$49,(1+'Monthly Returns'!D$2:D$49))</f>
        <v>2.4670478144640903E-2</v>
      </c>
      <c r="F28" s="107" cm="1">
        <f t="array" ref="F28">(Table684[[#This Row],[Μαρ-21]]*(1+Table6[[#This Row],[Μαρ-21]]))/SUMPRODUCT(E$2:E$49,(1+'Monthly Returns'!E$2:E$49))</f>
        <v>2.5681242710939155E-2</v>
      </c>
      <c r="G28" s="107" cm="1">
        <f t="array" ref="G28">(Table684[[#This Row],[Απρ-21]]*(1+Table6[[#This Row],[Απρ-21]]))/SUMPRODUCT(F$2:F$49,(1+'Monthly Returns'!F$2:F$49))</f>
        <v>2.6154346127227796E-2</v>
      </c>
      <c r="H28" s="109">
        <v>2.6359248767180786E-2</v>
      </c>
      <c r="I28" s="107" cm="1">
        <f t="array" ref="I28">(Table684[[#This Row],[Ιουν-21]]*(1+Table6[[#This Row],[Ιουν-21]]))/SUMPRODUCT(H$2:H$49,(1+'Monthly Returns'!H$2:H$49))</f>
        <v>2.6368937076280016E-2</v>
      </c>
      <c r="J28" s="107" cm="1">
        <f t="array" ref="J28">(Table684[[#This Row],[Ιουλ-21]]*(1+Table6[[#This Row],[Ιουλ-21]]))/SUMPRODUCT(I$2:I$49,(1+'Monthly Returns'!I$2:I$49))</f>
        <v>2.5595395857758441E-2</v>
      </c>
      <c r="K28" s="107" cm="1">
        <f t="array" ref="K28">(Table684[[#This Row],[Αυγ-21]]*(1+Table6[[#This Row],[Αυγ-21]]))/SUMPRODUCT(J$2:J$49,(1+'Monthly Returns'!J$2:J$49))</f>
        <v>2.5150792095595124E-2</v>
      </c>
      <c r="L28" s="107" cm="1">
        <f t="array" ref="L28">(Table684[[#This Row],[Σεπ-21]]*(1+Table6[[#This Row],[Σεπ-21]]))/SUMPRODUCT(K$2:K$49,(1+'Monthly Returns'!K$2:K$49))</f>
        <v>2.4409796548144125E-2</v>
      </c>
      <c r="M28" s="107" cm="1">
        <f t="array" ref="M28">(Table684[[#This Row],[Οκτ-21]]*(1+Table6[[#This Row],[Οκτ-21]]))/SUMPRODUCT(L$2:L$49,(1+'Monthly Returns'!L$2:L$49))</f>
        <v>2.429488612393289E-2</v>
      </c>
      <c r="N28" s="107" cm="1">
        <f t="array" ref="N28">(Table684[[#This Row],[Νοε-21]]*(1+Table6[[#This Row],[Νοε-21]]))/SUMPRODUCT(M$2:M$49,(1+'Monthly Returns'!M$2:M$49))</f>
        <v>2.4531852117975754E-2</v>
      </c>
      <c r="O28" s="109">
        <v>2.6359248767180786E-2</v>
      </c>
      <c r="P28" s="107" cm="1">
        <f t="array" ref="P28">(O28*(1+Table6[[#This Row],[Ιαν-22]]))/SUMPRODUCT(O$2:O$49,(1+'Monthly Returns'!O$2:O$49))</f>
        <v>2.7838428308559621E-2</v>
      </c>
      <c r="Q28" s="107" cm="1">
        <f t="array" ref="Q28">(P28*(1+Table6[[#This Row],[Φεβ-22]]))/SUMPRODUCT(P$2:P$49,(1+'Monthly Returns'!P$2:P$49))</f>
        <v>2.9092532562425253E-2</v>
      </c>
      <c r="R28" s="107" cm="1">
        <f t="array" ref="R28">(Q28*(1+Table6[[#This Row],[Μαρ-22]]))/SUMPRODUCT(Q$2:Q$49,(1+'Monthly Returns'!Q$2:Q$49))</f>
        <v>2.8360800101810323E-2</v>
      </c>
      <c r="S28" s="107" cm="1">
        <f t="array" ref="S28">(R28*(1+Table6[[#This Row],[Απρ-22]]))/SUMPRODUCT(R$2:R$49,(1+'Monthly Returns'!R$2:R$49))</f>
        <v>3.075499142727443E-2</v>
      </c>
      <c r="T28" s="109">
        <v>2.6359248767180786E-2</v>
      </c>
      <c r="U28" s="107" cm="1">
        <f t="array" ref="U28">(T28*(1+Table6[[#This Row],[Ιουν-22]]))/SUMPRODUCT(T$2:T$49,(1+'Monthly Returns'!T$2:T$49))</f>
        <v>2.774837237696182E-2</v>
      </c>
      <c r="V28" s="107" cm="1">
        <f t="array" ref="V28">(U28*(1+Table6[[#This Row],[Ιουλ-22]]))/SUMPRODUCT(U$2:U$49,(1+'Monthly Returns'!U$2:U$49))</f>
        <v>2.6376165361739066E-2</v>
      </c>
      <c r="W28" s="107" cm="1">
        <f t="array" ref="W28">(V28*(1+Table6[[#This Row],[Αυγ-22]]))/SUMPRODUCT(V$2:V$49,(1+'Monthly Returns'!V$2:V$49))</f>
        <v>2.3497999197620627E-2</v>
      </c>
      <c r="X28" s="107" cm="1">
        <f t="array" ref="X28">(W28*(1+Table6[[#This Row],[Σεπ-22]]))/SUMPRODUCT(W$2:W$49,(1+'Monthly Returns'!W$2:W$49))</f>
        <v>2.3652522492945291E-2</v>
      </c>
      <c r="Y28" s="107" cm="1">
        <f t="array" ref="Y28">(X28*(1+Table6[[#This Row],[Οκτ-22]]))/SUMPRODUCT(X$2:X$49,(1+'Monthly Returns'!X$2:X$49))</f>
        <v>2.452416145312605E-2</v>
      </c>
      <c r="Z28" s="107" cm="1">
        <f t="array" ref="Z28">(Y28*(1+Table6[[#This Row],[Νοε-22]]))/SUMPRODUCT(Y$2:Y$49,(1+'Monthly Returns'!Y$2:Y$49))</f>
        <v>2.2539208490732397E-2</v>
      </c>
      <c r="AA28" s="109">
        <v>2.6359248767180786E-2</v>
      </c>
      <c r="AB28" s="107" cm="1">
        <f t="array" ref="AB28">(AA28*(1+Table6[[#This Row],[Ιαν-23]]))/SUMPRODUCT(AA$2:AA$49,(1+'Monthly Returns'!AA$2:AA$49))</f>
        <v>2.4124863189283068E-2</v>
      </c>
      <c r="AC28" s="107" cm="1">
        <f t="array" ref="AC28">(AB28*(1+Table6[[#This Row],[Φεβ-23]]))/SUMPRODUCT(AB$2:AB$49,(1+'Monthly Returns'!AB$2:AB$49))</f>
        <v>2.3497812944584209E-2</v>
      </c>
      <c r="AD28" s="107" cm="1">
        <f t="array" ref="AD28">(AC28*(1+Table6[[#This Row],[Μαρ-23]]))/SUMPRODUCT(AC$2:AC$49,(1+'Monthly Returns'!AC$2:AC$49))</f>
        <v>2.6388726086694698E-2</v>
      </c>
      <c r="AE28" s="107" cm="1">
        <f t="array" ref="AE28">(AD28*(1+Table6[[#This Row],[Απρ-23]]))/SUMPRODUCT(AD$2:AD$49,(1+'Monthly Returns'!AD$2:AD$49))</f>
        <v>2.5617136665918402E-2</v>
      </c>
      <c r="AF28" s="109">
        <v>2.6359248767180786E-2</v>
      </c>
      <c r="AG28" s="107" cm="1">
        <f t="array" ref="AG28">(AF28*(1+Table6[[#This Row],[Ιουν-23]]))/SUMPRODUCT(AF$2:AF$49,(1+'Monthly Returns'!AF$2:AF$49))</f>
        <v>2.6445879215216583E-2</v>
      </c>
      <c r="AH28" s="107" cm="1">
        <f t="array" ref="AH28">(AG28*(1+Table6[[#This Row],[Ιουλ-23]]))/SUMPRODUCT(AG$2:AG$49,(1+'Monthly Returns'!AG$2:AG$49))</f>
        <v>2.5616207073456247E-2</v>
      </c>
      <c r="AI28" s="107" cm="1">
        <f t="array" ref="AI28">(AH28*(1+Table6[[#This Row],[Αυγ-23]]))/SUMPRODUCT(AH$2:AH$49,(1+'Monthly Returns'!AH$2:AH$49))</f>
        <v>2.652993319068821E-2</v>
      </c>
      <c r="AJ28" s="107" cm="1">
        <f t="array" ref="AJ28">(AI28*(1+Table6[[#This Row],[Σεπ-23]]))/SUMPRODUCT(AI$2:AI$49,(1+'Monthly Returns'!AI$2:AI$49))</f>
        <v>2.7702305843315334E-2</v>
      </c>
      <c r="AK28" s="107" cm="1">
        <f t="array" ref="AK28">(AJ28*(1+Table6[[#This Row],[Οκτ-23]]))/SUMPRODUCT(AJ$2:AJ$49,(1+'Monthly Returns'!AJ$2:AJ$49))</f>
        <v>2.4343794983961602E-2</v>
      </c>
      <c r="AL28" s="107" cm="1">
        <f t="array" ref="AL28">(AK28*(1+Table6[[#This Row],[Νοε-23]]))/SUMPRODUCT(AK$2:AK$49,(1+'Monthly Returns'!AK$2:AK$49))</f>
        <v>2.2316109712047415E-2</v>
      </c>
      <c r="AM28" s="109">
        <v>2.6359248767180786E-2</v>
      </c>
      <c r="AN28" s="107" cm="1">
        <f t="array" ref="AN28">(AM28*(1+Table6[[#This Row],[Ιαν-24]]))/SUMPRODUCT(AM$2:AM$49,(1+'Monthly Returns'!AM$2:AM$49))</f>
        <v>2.6953154080088245E-2</v>
      </c>
      <c r="AO28" s="107" cm="1">
        <f t="array" ref="AO28">(AN28*(1+Table6[[#This Row],[Φεβ-24]]))/SUMPRODUCT(AN$2:AN$49,(1+'Monthly Returns'!AN$2:AN$49))</f>
        <v>2.4525404313445416E-2</v>
      </c>
      <c r="AP28" s="107" cm="1">
        <f t="array" ref="AP28">(AO28*(1+Table6[[#This Row],[Μαρ-24]]))/SUMPRODUCT(AO$2:AO$49,(1+'Monthly Returns'!AO$2:AO$49))</f>
        <v>2.4055057080836252E-2</v>
      </c>
      <c r="AQ28" s="107" cm="1">
        <f t="array" ref="AQ28">(AP28*(1+Table6[[#This Row],[Απρ-24]]))/SUMPRODUCT(AP$2:AP$49,(1+'Monthly Returns'!AP$2:AP$49))</f>
        <v>2.4669686483895531E-2</v>
      </c>
      <c r="AR28" s="109">
        <v>2.6359248767180786E-2</v>
      </c>
      <c r="AS28" s="107" cm="1">
        <f t="array" ref="AS28">(AR28*(1+Table6[[#This Row],[Ιουν-24]]))/SUMPRODUCT(AR$2:AR$49,(1+'Monthly Returns'!AR$2:AR$49))</f>
        <v>2.67222900359591E-2</v>
      </c>
      <c r="AT28" s="107" cm="1">
        <f t="array" ref="AT28">(AS28*(1+Table6[[#This Row],[Ιουλ-24]]))/SUMPRODUCT(AS$2:AS$49,(1+'Monthly Returns'!AS$2:AS$49))</f>
        <v>2.7551496655848225E-2</v>
      </c>
      <c r="AU28" s="107" cm="1">
        <f t="array" ref="AU28">(AT28*(1+Table6[[#This Row],[Αυγ-24]]))/SUMPRODUCT(AT$2:AT$49,(1+'Monthly Returns'!AT$2:AT$49))</f>
        <v>2.8476424464352189E-2</v>
      </c>
      <c r="AV28" s="107" cm="1">
        <f t="array" ref="AV28">(AU28*(1+Table6[[#This Row],[Σεπ-24]]))/SUMPRODUCT(AU$2:AU$49,(1+'Monthly Returns'!AU$2:AU$49))</f>
        <v>2.8957984851837995E-2</v>
      </c>
      <c r="AW28" s="107" cm="1">
        <f t="array" ref="AW28">(AV28*(1+Table6[[#This Row],[Οκτ-24]]))/SUMPRODUCT(AV$2:AV$49,(1+'Monthly Returns'!AV$2:AV$49))</f>
        <v>2.7950536814474798E-2</v>
      </c>
      <c r="AX28" s="107" cm="1">
        <f t="array" ref="AX28">(AW28*(1+Table6[[#This Row],[Νοε-24]]))/SUMPRODUCT(AW$2:AW$49,(1+'Monthly Returns'!AW$2:AW$49))</f>
        <v>2.603164026763077E-2</v>
      </c>
      <c r="AY28" s="109">
        <v>2.6359248767180786E-2</v>
      </c>
      <c r="AZ28" s="107" cm="1">
        <f t="array" ref="AZ28">(AY28*(1+Table6[[#This Row],[Ιαν-25]]))/SUMPRODUCT(AY$2:AY$49,(1+'Monthly Returns'!AY$2:AY$49))</f>
        <v>2.7275642701192856E-2</v>
      </c>
      <c r="BA28" s="107" cm="1">
        <f t="array" ref="BA28">(AZ28*(1+Table6[[#This Row],[Φεβ-25]]))/SUMPRODUCT(AZ$2:AZ$49,(1+'Monthly Returns'!AZ$2:AZ$49))</f>
        <v>2.5962643113377228E-2</v>
      </c>
      <c r="BB28" s="107" cm="1">
        <f t="array" ref="BB28">(BA28*(1+Table6[[#This Row],[Μαρ-25]]))/SUMPRODUCT(BA$2:BA$49,(1+'Monthly Returns'!BA$2:BA$49))</f>
        <v>2.5938563859812476E-2</v>
      </c>
      <c r="BC28" s="107" cm="1">
        <f t="array" ref="BC28">(BB28*(1+Table6[[#This Row],[Απρ-25]]))/SUMPRODUCT(BB$2:BB$49,(1+'Monthly Returns'!BB$2:BB$49))</f>
        <v>2.422066305769666E-2</v>
      </c>
      <c r="BD28" s="109">
        <v>2.6359248767180786E-2</v>
      </c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</row>
    <row r="29" spans="1:92">
      <c r="A29" s="110" t="s">
        <v>195</v>
      </c>
      <c r="B29" s="110" t="s">
        <v>196</v>
      </c>
      <c r="C29" s="109">
        <v>1.7119924457034943E-2</v>
      </c>
      <c r="D29" s="107" cm="1">
        <f t="array" ref="D29">(Table684[[#This Row],[Ιαν-21]]*(1+Table6[[#This Row],[Ιαν-21]]))/SUMPRODUCT(C$2:C$49,(1+'Monthly Returns'!C$2:C$49))</f>
        <v>1.7710956211684E-2</v>
      </c>
      <c r="E29" s="107" cm="1">
        <f t="array" ref="E29">(Table684[[#This Row],[Φεβ-21]]*(1+Table6[[#This Row],[Φεβ-21]]))/SUMPRODUCT(D$2:D$49,(1+'Monthly Returns'!D$2:D$49))</f>
        <v>1.5539920645005778E-2</v>
      </c>
      <c r="F29" s="107" cm="1">
        <f t="array" ref="F29">(Table684[[#This Row],[Μαρ-21]]*(1+Table6[[#This Row],[Μαρ-21]]))/SUMPRODUCT(E$2:E$49,(1+'Monthly Returns'!E$2:E$49))</f>
        <v>1.6015052991439661E-2</v>
      </c>
      <c r="G29" s="107" cm="1">
        <f t="array" ref="G29">(Table684[[#This Row],[Απρ-21]]*(1+Table6[[#This Row],[Απρ-21]]))/SUMPRODUCT(F$2:F$49,(1+'Monthly Returns'!F$2:F$49))</f>
        <v>1.6034523137978134E-2</v>
      </c>
      <c r="H29" s="109">
        <v>1.7119924457034943E-2</v>
      </c>
      <c r="I29" s="107" cm="1">
        <f t="array" ref="I29">(Table684[[#This Row],[Ιουν-21]]*(1+Table6[[#This Row],[Ιουν-21]]))/SUMPRODUCT(H$2:H$49,(1+'Monthly Returns'!H$2:H$49))</f>
        <v>1.7815648231826669E-2</v>
      </c>
      <c r="J29" s="107" cm="1">
        <f t="array" ref="J29">(Table684[[#This Row],[Ιουλ-21]]*(1+Table6[[#This Row],[Ιουλ-21]]))/SUMPRODUCT(I$2:I$49,(1+'Monthly Returns'!I$2:I$49))</f>
        <v>1.7678169621470806E-2</v>
      </c>
      <c r="K29" s="107" cm="1">
        <f t="array" ref="K29">(Table684[[#This Row],[Αυγ-21]]*(1+Table6[[#This Row],[Αυγ-21]]))/SUMPRODUCT(J$2:J$49,(1+'Monthly Returns'!J$2:J$49))</f>
        <v>1.7874052421133348E-2</v>
      </c>
      <c r="L29" s="107" cm="1">
        <f t="array" ref="L29">(Table684[[#This Row],[Σεπ-21]]*(1+Table6[[#This Row],[Σεπ-21]]))/SUMPRODUCT(K$2:K$49,(1+'Monthly Returns'!K$2:K$49))</f>
        <v>1.7543202942195871E-2</v>
      </c>
      <c r="M29" s="107" cm="1">
        <f t="array" ref="M29">(Table684[[#This Row],[Οκτ-21]]*(1+Table6[[#This Row],[Οκτ-21]]))/SUMPRODUCT(L$2:L$49,(1+'Monthly Returns'!L$2:L$49))</f>
        <v>1.837535701450806E-2</v>
      </c>
      <c r="N29" s="107" cm="1">
        <f t="array" ref="N29">(Table684[[#This Row],[Νοε-21]]*(1+Table6[[#This Row],[Νοε-21]]))/SUMPRODUCT(M$2:M$49,(1+'Monthly Returns'!M$2:M$49))</f>
        <v>1.9365380498972597E-2</v>
      </c>
      <c r="O29" s="109">
        <v>1.7119924457034943E-2</v>
      </c>
      <c r="P29" s="107" cm="1">
        <f t="array" ref="P29">(O29*(1+Table6[[#This Row],[Ιαν-22]]))/SUMPRODUCT(O$2:O$49,(1+'Monthly Returns'!O$2:O$49))</f>
        <v>1.7792264165395536E-2</v>
      </c>
      <c r="Q29" s="107" cm="1">
        <f t="array" ref="Q29">(P29*(1+Table6[[#This Row],[Φεβ-22]]))/SUMPRODUCT(P$2:P$49,(1+'Monthly Returns'!P$2:P$49))</f>
        <v>1.7573516157485251E-2</v>
      </c>
      <c r="R29" s="107" cm="1">
        <f t="array" ref="R29">(Q29*(1+Table6[[#This Row],[Μαρ-22]]))/SUMPRODUCT(Q$2:Q$49,(1+'Monthly Returns'!Q$2:Q$49))</f>
        <v>1.8303382287051514E-2</v>
      </c>
      <c r="S29" s="107" cm="1">
        <f t="array" ref="S29">(R29*(1+Table6[[#This Row],[Απρ-22]]))/SUMPRODUCT(R$2:R$49,(1+'Monthly Returns'!R$2:R$49))</f>
        <v>1.9910239537094733E-2</v>
      </c>
      <c r="T29" s="109">
        <v>1.7119924457034943E-2</v>
      </c>
      <c r="U29" s="107" cm="1">
        <f t="array" ref="U29">(T29*(1+Table6[[#This Row],[Ιουν-22]]))/SUMPRODUCT(T$2:T$49,(1+'Monthly Returns'!T$2:T$49))</f>
        <v>1.871372485672863E-2</v>
      </c>
      <c r="V29" s="107" cm="1">
        <f t="array" ref="V29">(U29*(1+Table6[[#This Row],[Ιουλ-22]]))/SUMPRODUCT(U$2:U$49,(1+'Monthly Returns'!U$2:U$49))</f>
        <v>1.7518564090668667E-2</v>
      </c>
      <c r="W29" s="107" cm="1">
        <f t="array" ref="W29">(V29*(1+Table6[[#This Row],[Αυγ-22]]))/SUMPRODUCT(V$2:V$49,(1+'Monthly Returns'!V$2:V$49))</f>
        <v>1.4447587525175444E-2</v>
      </c>
      <c r="X29" s="107" cm="1">
        <f t="array" ref="X29">(W29*(1+Table6[[#This Row],[Σεπ-22]]))/SUMPRODUCT(W$2:W$49,(1+'Monthly Returns'!W$2:W$49))</f>
        <v>1.4188938737316137E-2</v>
      </c>
      <c r="Y29" s="107" cm="1">
        <f t="array" ref="Y29">(X29*(1+Table6[[#This Row],[Οκτ-22]]))/SUMPRODUCT(X$2:X$49,(1+'Monthly Returns'!X$2:X$49))</f>
        <v>1.4744845963081616E-2</v>
      </c>
      <c r="Z29" s="107" cm="1">
        <f t="array" ref="Z29">(Y29*(1+Table6[[#This Row],[Νοε-22]]))/SUMPRODUCT(Y$2:Y$49,(1+'Monthly Returns'!Y$2:Y$49))</f>
        <v>1.3585628155790154E-2</v>
      </c>
      <c r="AA29" s="109">
        <v>1.7119924457034943E-2</v>
      </c>
      <c r="AB29" s="107" cm="1">
        <f t="array" ref="AB29">(AA29*(1+Table6[[#This Row],[Ιαν-23]]))/SUMPRODUCT(AA$2:AA$49,(1+'Monthly Returns'!AA$2:AA$49))</f>
        <v>1.5612210786367778E-2</v>
      </c>
      <c r="AC29" s="107" cm="1">
        <f t="array" ref="AC29">(AB29*(1+Table6[[#This Row],[Φεβ-23]]))/SUMPRODUCT(AB$2:AB$49,(1+'Monthly Returns'!AB$2:AB$49))</f>
        <v>1.5592985179604613E-2</v>
      </c>
      <c r="AD29" s="107" cm="1">
        <f t="array" ref="AD29">(AC29*(1+Table6[[#This Row],[Μαρ-23]]))/SUMPRODUCT(AC$2:AC$49,(1+'Monthly Returns'!AC$2:AC$49))</f>
        <v>1.5502000256358799E-2</v>
      </c>
      <c r="AE29" s="107" cm="1">
        <f t="array" ref="AE29">(AD29*(1+Table6[[#This Row],[Απρ-23]]))/SUMPRODUCT(AD$2:AD$49,(1+'Monthly Returns'!AD$2:AD$49))</f>
        <v>1.5264446292857758E-2</v>
      </c>
      <c r="AF29" s="109">
        <v>1.7119924457034943E-2</v>
      </c>
      <c r="AG29" s="107" cm="1">
        <f t="array" ref="AG29">(AF29*(1+Table6[[#This Row],[Ιουν-23]]))/SUMPRODUCT(AF$2:AF$49,(1+'Monthly Returns'!AF$2:AF$49))</f>
        <v>1.712142493091642E-2</v>
      </c>
      <c r="AH29" s="107" cm="1">
        <f t="array" ref="AH29">(AG29*(1+Table6[[#This Row],[Ιουλ-23]]))/SUMPRODUCT(AG$2:AG$49,(1+'Monthly Returns'!AG$2:AG$49))</f>
        <v>1.6773828063826181E-2</v>
      </c>
      <c r="AI29" s="107" cm="1">
        <f t="array" ref="AI29">(AH29*(1+Table6[[#This Row],[Αυγ-23]]))/SUMPRODUCT(AH$2:AH$49,(1+'Monthly Returns'!AH$2:AH$49))</f>
        <v>1.7329401471845928E-2</v>
      </c>
      <c r="AJ29" s="107" cm="1">
        <f t="array" ref="AJ29">(AI29*(1+Table6[[#This Row],[Σεπ-23]]))/SUMPRODUCT(AI$2:AI$49,(1+'Monthly Returns'!AI$2:AI$49))</f>
        <v>1.866331067607763E-2</v>
      </c>
      <c r="AK29" s="107" cm="1">
        <f t="array" ref="AK29">(AJ29*(1+Table6[[#This Row],[Οκτ-23]]))/SUMPRODUCT(AJ$2:AJ$49,(1+'Monthly Returns'!AJ$2:AJ$49))</f>
        <v>1.8884537105765316E-2</v>
      </c>
      <c r="AL29" s="107" cm="1">
        <f t="array" ref="AL29">(AK29*(1+Table6[[#This Row],[Νοε-23]]))/SUMPRODUCT(AK$2:AK$49,(1+'Monthly Returns'!AK$2:AK$49))</f>
        <v>1.7229980880855863E-2</v>
      </c>
      <c r="AM29" s="109">
        <v>1.7119924457034943E-2</v>
      </c>
      <c r="AN29" s="107" cm="1">
        <f t="array" ref="AN29">(AM29*(1+Table6[[#This Row],[Ιαν-24]]))/SUMPRODUCT(AM$2:AM$49,(1+'Monthly Returns'!AM$2:AM$49))</f>
        <v>1.8491938368643736E-2</v>
      </c>
      <c r="AO29" s="107" cm="1">
        <f t="array" ref="AO29">(AN29*(1+Table6[[#This Row],[Φεβ-24]]))/SUMPRODUCT(AN$2:AN$49,(1+'Monthly Returns'!AN$2:AN$49))</f>
        <v>1.909627694272337E-2</v>
      </c>
      <c r="AP29" s="107" cm="1">
        <f t="array" ref="AP29">(AO29*(1+Table6[[#This Row],[Μαρ-24]]))/SUMPRODUCT(AO$2:AO$49,(1+'Monthly Returns'!AO$2:AO$49))</f>
        <v>1.8594311190093162E-2</v>
      </c>
      <c r="AQ29" s="107" cm="1">
        <f t="array" ref="AQ29">(AP29*(1+Table6[[#This Row],[Απρ-24]]))/SUMPRODUCT(AP$2:AP$49,(1+'Monthly Returns'!AP$2:AP$49))</f>
        <v>1.8273689791929632E-2</v>
      </c>
      <c r="AR29" s="109">
        <v>1.7119924457034943E-2</v>
      </c>
      <c r="AS29" s="107" cm="1">
        <f t="array" ref="AS29">(AR29*(1+Table6[[#This Row],[Ιουν-24]]))/SUMPRODUCT(AR$2:AR$49,(1+'Monthly Returns'!AR$2:AR$49))</f>
        <v>1.5076261071463511E-2</v>
      </c>
      <c r="AT29" s="107" cm="1">
        <f t="array" ref="AT29">(AS29*(1+Table6[[#This Row],[Ιουλ-24]]))/SUMPRODUCT(AS$2:AS$49,(1+'Monthly Returns'!AS$2:AS$49))</f>
        <v>1.4595220038654289E-2</v>
      </c>
      <c r="AU29" s="107" cm="1">
        <f t="array" ref="AU29">(AT29*(1+Table6[[#This Row],[Αυγ-24]]))/SUMPRODUCT(AT$2:AT$49,(1+'Monthly Returns'!AT$2:AT$49))</f>
        <v>1.5714691411967768E-2</v>
      </c>
      <c r="AV29" s="107" cm="1">
        <f t="array" ref="AV29">(AU29*(1+Table6[[#This Row],[Σεπ-24]]))/SUMPRODUCT(AU$2:AU$49,(1+'Monthly Returns'!AU$2:AU$49))</f>
        <v>1.4564392068380472E-2</v>
      </c>
      <c r="AW29" s="107" cm="1">
        <f t="array" ref="AW29">(AV29*(1+Table6[[#This Row],[Οκτ-24]]))/SUMPRODUCT(AV$2:AV$49,(1+'Monthly Returns'!AV$2:AV$49))</f>
        <v>1.3470780326681151E-2</v>
      </c>
      <c r="AX29" s="107" cm="1">
        <f t="array" ref="AX29">(AW29*(1+Table6[[#This Row],[Νοε-24]]))/SUMPRODUCT(AW$2:AW$49,(1+'Monthly Returns'!AW$2:AW$49))</f>
        <v>1.3042090156212414E-2</v>
      </c>
      <c r="AY29" s="109">
        <v>1.7119924457034943E-2</v>
      </c>
      <c r="AZ29" s="107" cm="1">
        <f t="array" ref="AZ29">(AY29*(1+Table6[[#This Row],[Ιαν-25]]))/SUMPRODUCT(AY$2:AY$49,(1+'Monthly Returns'!AY$2:AY$49))</f>
        <v>1.6399637692974561E-2</v>
      </c>
      <c r="BA29" s="107" cm="1">
        <f t="array" ref="BA29">(AZ29*(1+Table6[[#This Row],[Φεβ-25]]))/SUMPRODUCT(AZ$2:AZ$49,(1+'Monthly Returns'!AZ$2:AZ$49))</f>
        <v>1.670021631876099E-2</v>
      </c>
      <c r="BB29" s="107" cm="1">
        <f t="array" ref="BB29">(BA29*(1+Table6[[#This Row],[Μαρ-25]]))/SUMPRODUCT(BA$2:BA$49,(1+'Monthly Returns'!BA$2:BA$49))</f>
        <v>1.6790651505298619E-2</v>
      </c>
      <c r="BC29" s="107" cm="1">
        <f t="array" ref="BC29">(BB29*(1+Table6[[#This Row],[Απρ-25]]))/SUMPRODUCT(BB$2:BB$49,(1+'Monthly Returns'!BB$2:BB$49))</f>
        <v>1.6646758102647971E-2</v>
      </c>
      <c r="BD29" s="109">
        <v>1.7119924457034943E-2</v>
      </c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</row>
    <row r="30" spans="1:92">
      <c r="A30" s="110" t="s">
        <v>50</v>
      </c>
      <c r="B30" s="110" t="s">
        <v>51</v>
      </c>
      <c r="C30" s="109">
        <v>4.3999758905430654E-2</v>
      </c>
      <c r="D30" s="107" cm="1">
        <f t="array" ref="D30">(Table684[[#This Row],[Ιαν-21]]*(1+Table6[[#This Row],[Ιαν-21]]))/SUMPRODUCT(C$2:C$49,(1+'Monthly Returns'!C$2:C$49))</f>
        <v>4.2884638190976598E-2</v>
      </c>
      <c r="E30" s="107" cm="1">
        <f t="array" ref="E30">(Table684[[#This Row],[Φεβ-21]]*(1+Table6[[#This Row],[Φεβ-21]]))/SUMPRODUCT(D$2:D$49,(1+'Monthly Returns'!D$2:D$49))</f>
        <v>3.8464314021242854E-2</v>
      </c>
      <c r="F30" s="107" cm="1">
        <f t="array" ref="F30">(Table684[[#This Row],[Μαρ-21]]*(1+Table6[[#This Row],[Μαρ-21]]))/SUMPRODUCT(E$2:E$49,(1+'Monthly Returns'!E$2:E$49))</f>
        <v>3.966197277636728E-2</v>
      </c>
      <c r="G30" s="107" cm="1">
        <f t="array" ref="G30">(Table684[[#This Row],[Απρ-21]]*(1+Table6[[#This Row],[Απρ-21]]))/SUMPRODUCT(F$2:F$49,(1+'Monthly Returns'!F$2:F$49))</f>
        <v>4.1691216406181834E-2</v>
      </c>
      <c r="H30" s="109">
        <v>4.3999758905430654E-2</v>
      </c>
      <c r="I30" s="107" cm="1">
        <f t="array" ref="I30">(Table684[[#This Row],[Ιουν-21]]*(1+Table6[[#This Row],[Ιουν-21]]))/SUMPRODUCT(H$2:H$49,(1+'Monthly Returns'!H$2:H$49))</f>
        <v>4.5189977939523958E-2</v>
      </c>
      <c r="J30" s="107" cm="1">
        <f t="array" ref="J30">(Table684[[#This Row],[Ιουλ-21]]*(1+Table6[[#This Row],[Ιουλ-21]]))/SUMPRODUCT(I$2:I$49,(1+'Monthly Returns'!I$2:I$49))</f>
        <v>4.5349804833760894E-2</v>
      </c>
      <c r="K30" s="107" cm="1">
        <f t="array" ref="K30">(Table684[[#This Row],[Αυγ-21]]*(1+Table6[[#This Row],[Αυγ-21]]))/SUMPRODUCT(J$2:J$49,(1+'Monthly Returns'!J$2:J$49))</f>
        <v>4.4274845855890033E-2</v>
      </c>
      <c r="L30" s="107" cm="1">
        <f t="array" ref="L30">(Table684[[#This Row],[Σεπ-21]]*(1+Table6[[#This Row],[Σεπ-21]]))/SUMPRODUCT(K$2:K$49,(1+'Monthly Returns'!K$2:K$49))</f>
        <v>4.4148680141892931E-2</v>
      </c>
      <c r="M30" s="107" cm="1">
        <f t="array" ref="M30">(Table684[[#This Row],[Οκτ-21]]*(1+Table6[[#This Row],[Οκτ-21]]))/SUMPRODUCT(L$2:L$49,(1+'Monthly Returns'!L$2:L$49))</f>
        <v>4.6263972573251426E-2</v>
      </c>
      <c r="N30" s="107" cm="1">
        <f t="array" ref="N30">(Table684[[#This Row],[Νοε-21]]*(1+Table6[[#This Row],[Νοε-21]]))/SUMPRODUCT(M$2:M$49,(1+'Monthly Returns'!M$2:M$49))</f>
        <v>4.7788855708432249E-2</v>
      </c>
      <c r="O30" s="109">
        <v>4.3999758905430654E-2</v>
      </c>
      <c r="P30" s="107" cm="1">
        <f t="array" ref="P30">(O30*(1+Table6[[#This Row],[Ιαν-22]]))/SUMPRODUCT(O$2:O$49,(1+'Monthly Returns'!O$2:O$49))</f>
        <v>4.1121231899751198E-2</v>
      </c>
      <c r="Q30" s="107" cm="1">
        <f t="array" ref="Q30">(P30*(1+Table6[[#This Row],[Φεβ-22]]))/SUMPRODUCT(P$2:P$49,(1+'Monthly Returns'!P$2:P$49))</f>
        <v>4.3468355336767982E-2</v>
      </c>
      <c r="R30" s="107" cm="1">
        <f t="array" ref="R30">(Q30*(1+Table6[[#This Row],[Μαρ-22]]))/SUMPRODUCT(Q$2:Q$49,(1+'Monthly Returns'!Q$2:Q$49))</f>
        <v>4.3282743861101577E-2</v>
      </c>
      <c r="S30" s="107" cm="1">
        <f t="array" ref="S30">(R30*(1+Table6[[#This Row],[Απρ-22]]))/SUMPRODUCT(R$2:R$49,(1+'Monthly Returns'!R$2:R$49))</f>
        <v>4.585945337491186E-2</v>
      </c>
      <c r="T30" s="109">
        <v>4.3999758905430654E-2</v>
      </c>
      <c r="U30" s="107" cm="1">
        <f t="array" ref="U30">(T30*(1+Table6[[#This Row],[Ιουν-22]]))/SUMPRODUCT(T$2:T$49,(1+'Monthly Returns'!T$2:T$49))</f>
        <v>4.6820228003628422E-2</v>
      </c>
      <c r="V30" s="107" cm="1">
        <f t="array" ref="V30">(U30*(1+Table6[[#This Row],[Ιουλ-22]]))/SUMPRODUCT(U$2:U$49,(1+'Monthly Returns'!U$2:U$49))</f>
        <v>4.7455702684088483E-2</v>
      </c>
      <c r="W30" s="107" cm="1">
        <f t="array" ref="W30">(V30*(1+Table6[[#This Row],[Αυγ-22]]))/SUMPRODUCT(V$2:V$49,(1+'Monthly Returns'!V$2:V$49))</f>
        <v>4.8733458815232548E-2</v>
      </c>
      <c r="X30" s="107" cm="1">
        <f t="array" ref="X30">(W30*(1+Table6[[#This Row],[Σεπ-22]]))/SUMPRODUCT(W$2:W$49,(1+'Monthly Returns'!W$2:W$49))</f>
        <v>4.8920241020426254E-2</v>
      </c>
      <c r="Y30" s="107" cm="1">
        <f t="array" ref="Y30">(X30*(1+Table6[[#This Row],[Οκτ-22]]))/SUMPRODUCT(X$2:X$49,(1+'Monthly Returns'!X$2:X$49))</f>
        <v>4.5126613258525947E-2</v>
      </c>
      <c r="Z30" s="107" cm="1">
        <f t="array" ref="Z30">(Y30*(1+Table6[[#This Row],[Νοε-22]]))/SUMPRODUCT(Y$2:Y$49,(1+'Monthly Returns'!Y$2:Y$49))</f>
        <v>4.3513699056113228E-2</v>
      </c>
      <c r="AA30" s="109">
        <v>4.3999758905430654E-2</v>
      </c>
      <c r="AB30" s="107" cm="1">
        <f t="array" ref="AB30">(AA30*(1+Table6[[#This Row],[Ιαν-23]]))/SUMPRODUCT(AA$2:AA$49,(1+'Monthly Returns'!AA$2:AA$49))</f>
        <v>4.1585348714552869E-2</v>
      </c>
      <c r="AC30" s="107" cm="1">
        <f t="array" ref="AC30">(AB30*(1+Table6[[#This Row],[Φεβ-23]]))/SUMPRODUCT(AB$2:AB$49,(1+'Monthly Returns'!AB$2:AB$49))</f>
        <v>3.8988563722660789E-2</v>
      </c>
      <c r="AD30" s="107" cm="1">
        <f t="array" ref="AD30">(AC30*(1+Table6[[#This Row],[Μαρ-23]]))/SUMPRODUCT(AC$2:AC$49,(1+'Monthly Returns'!AC$2:AC$49))</f>
        <v>4.0834431452776217E-2</v>
      </c>
      <c r="AE30" s="107" cm="1">
        <f t="array" ref="AE30">(AD30*(1+Table6[[#This Row],[Απρ-23]]))/SUMPRODUCT(AD$2:AD$49,(1+'Monthly Returns'!AD$2:AD$49))</f>
        <v>4.2266996897794847E-2</v>
      </c>
      <c r="AF30" s="109">
        <v>4.3999758905430654E-2</v>
      </c>
      <c r="AG30" s="107" cm="1">
        <f t="array" ref="AG30">(AF30*(1+Table6[[#This Row],[Ιουν-23]]))/SUMPRODUCT(AF$2:AF$49,(1+'Monthly Returns'!AF$2:AF$49))</f>
        <v>4.2348734701057586E-2</v>
      </c>
      <c r="AH30" s="107" cm="1">
        <f t="array" ref="AH30">(AG30*(1+Table6[[#This Row],[Ιουλ-23]]))/SUMPRODUCT(AG$2:AG$49,(1+'Monthly Returns'!AG$2:AG$49))</f>
        <v>4.2061524256731944E-2</v>
      </c>
      <c r="AI30" s="107" cm="1">
        <f t="array" ref="AI30">(AH30*(1+Table6[[#This Row],[Αυγ-23]]))/SUMPRODUCT(AH$2:AH$49,(1+'Monthly Returns'!AH$2:AH$49))</f>
        <v>4.2687185164300562E-2</v>
      </c>
      <c r="AJ30" s="107" cm="1">
        <f t="array" ref="AJ30">(AI30*(1+Table6[[#This Row],[Σεπ-23]]))/SUMPRODUCT(AI$2:AI$49,(1+'Monthly Returns'!AI$2:AI$49))</f>
        <v>4.1787708617848127E-2</v>
      </c>
      <c r="AK30" s="107" cm="1">
        <f t="array" ref="AK30">(AJ30*(1+Table6[[#This Row],[Οκτ-23]]))/SUMPRODUCT(AJ$2:AJ$49,(1+'Monthly Returns'!AJ$2:AJ$49))</f>
        <v>4.1335107928975844E-2</v>
      </c>
      <c r="AL30" s="107" cm="1">
        <f t="array" ref="AL30">(AK30*(1+Table6[[#This Row],[Νοε-23]]))/SUMPRODUCT(AK$2:AK$49,(1+'Monthly Returns'!AK$2:AK$49))</f>
        <v>3.8868715681111672E-2</v>
      </c>
      <c r="AM30" s="109">
        <v>4.3999758905430654E-2</v>
      </c>
      <c r="AN30" s="107" cm="1">
        <f t="array" ref="AN30">(AM30*(1+Table6[[#This Row],[Ιαν-24]]))/SUMPRODUCT(AM$2:AM$49,(1+'Monthly Returns'!AM$2:AM$49))</f>
        <v>4.3520403633844809E-2</v>
      </c>
      <c r="AO30" s="107" cm="1">
        <f t="array" ref="AO30">(AN30*(1+Table6[[#This Row],[Φεβ-24]]))/SUMPRODUCT(AN$2:AN$49,(1+'Monthly Returns'!AN$2:AN$49))</f>
        <v>3.8266918993587772E-2</v>
      </c>
      <c r="AP30" s="107" cm="1">
        <f t="array" ref="AP30">(AO30*(1+Table6[[#This Row],[Μαρ-24]]))/SUMPRODUCT(AO$2:AO$49,(1+'Monthly Returns'!AO$2:AO$49))</f>
        <v>3.7126843681791866E-2</v>
      </c>
      <c r="AQ30" s="107" cm="1">
        <f t="array" ref="AQ30">(AP30*(1+Table6[[#This Row],[Απρ-24]]))/SUMPRODUCT(AP$2:AP$49,(1+'Monthly Returns'!AP$2:AP$49))</f>
        <v>3.6732242308801025E-2</v>
      </c>
      <c r="AR30" s="109">
        <v>4.3999758905430654E-2</v>
      </c>
      <c r="AS30" s="107" cm="1">
        <f t="array" ref="AS30">(AR30*(1+Table6[[#This Row],[Ιουν-24]]))/SUMPRODUCT(AR$2:AR$49,(1+'Monthly Returns'!AR$2:AR$49))</f>
        <v>4.3479486622151432E-2</v>
      </c>
      <c r="AT30" s="107" cm="1">
        <f t="array" ref="AT30">(AS30*(1+Table6[[#This Row],[Ιουλ-24]]))/SUMPRODUCT(AS$2:AS$49,(1+'Monthly Returns'!AS$2:AS$49))</f>
        <v>4.158463630450307E-2</v>
      </c>
      <c r="AU30" s="107" cm="1">
        <f t="array" ref="AU30">(AT30*(1+Table6[[#This Row],[Αυγ-24]]))/SUMPRODUCT(AT$2:AT$49,(1+'Monthly Returns'!AT$2:AT$49))</f>
        <v>4.1851090250187337E-2</v>
      </c>
      <c r="AV30" s="107" cm="1">
        <f t="array" ref="AV30">(AU30*(1+Table6[[#This Row],[Σεπ-24]]))/SUMPRODUCT(AU$2:AU$49,(1+'Monthly Returns'!AU$2:AU$49))</f>
        <v>3.9013653759143389E-2</v>
      </c>
      <c r="AW30" s="107" cm="1">
        <f t="array" ref="AW30">(AV30*(1+Table6[[#This Row],[Οκτ-24]]))/SUMPRODUCT(AV$2:AV$49,(1+'Monthly Returns'!AV$2:AV$49))</f>
        <v>3.837861162451367E-2</v>
      </c>
      <c r="AX30" s="107" cm="1">
        <f t="array" ref="AX30">(AW30*(1+Table6[[#This Row],[Νοε-24]]))/SUMPRODUCT(AW$2:AW$49,(1+'Monthly Returns'!AW$2:AW$49))</f>
        <v>3.5668408354363516E-2</v>
      </c>
      <c r="AY30" s="109">
        <v>4.3999758905430654E-2</v>
      </c>
      <c r="AZ30" s="107" cm="1">
        <f t="array" ref="AZ30">(AY30*(1+Table6[[#This Row],[Ιαν-25]]))/SUMPRODUCT(AY$2:AY$49,(1+'Monthly Returns'!AY$2:AY$49))</f>
        <v>4.2058617856238864E-2</v>
      </c>
      <c r="BA30" s="107" cm="1">
        <f t="array" ref="BA30">(AZ30*(1+Table6[[#This Row],[Φεβ-25]]))/SUMPRODUCT(AZ$2:AZ$49,(1+'Monthly Returns'!AZ$2:AZ$49))</f>
        <v>4.5436739599335474E-2</v>
      </c>
      <c r="BB30" s="107" cm="1">
        <f t="array" ref="BB30">(BA30*(1+Table6[[#This Row],[Μαρ-25]]))/SUMPRODUCT(BA$2:BA$49,(1+'Monthly Returns'!BA$2:BA$49))</f>
        <v>4.6742585192404797E-2</v>
      </c>
      <c r="BC30" s="107" cm="1">
        <f t="array" ref="BC30">(BB30*(1+Table6[[#This Row],[Απρ-25]]))/SUMPRODUCT(BB$2:BB$49,(1+'Monthly Returns'!BB$2:BB$49))</f>
        <v>4.8327431515237239E-2</v>
      </c>
      <c r="BD30" s="109">
        <v>4.3999758905430654E-2</v>
      </c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</row>
    <row r="31" spans="1:92">
      <c r="A31" s="110" t="s">
        <v>117</v>
      </c>
      <c r="B31" s="110" t="s">
        <v>118</v>
      </c>
      <c r="C31" s="109">
        <v>2.5515841922327361E-2</v>
      </c>
      <c r="D31" s="107" cm="1">
        <f t="array" ref="D31">(Table684[[#This Row],[Ιαν-21]]*(1+Table6[[#This Row],[Ιαν-21]]))/SUMPRODUCT(C$2:C$49,(1+'Monthly Returns'!C$2:C$49))</f>
        <v>2.5202035689129633E-2</v>
      </c>
      <c r="E31" s="107" cm="1">
        <f t="array" ref="E31">(Table684[[#This Row],[Φεβ-21]]*(1+Table6[[#This Row],[Φεβ-21]]))/SUMPRODUCT(D$2:D$49,(1+'Monthly Returns'!D$2:D$49))</f>
        <v>2.2001333213130903E-2</v>
      </c>
      <c r="F31" s="107" cm="1">
        <f t="array" ref="F31">(Table684[[#This Row],[Μαρ-21]]*(1+Table6[[#This Row],[Μαρ-21]]))/SUMPRODUCT(E$2:E$49,(1+'Monthly Returns'!E$2:E$49))</f>
        <v>2.2777049222998287E-2</v>
      </c>
      <c r="G31" s="107" cm="1">
        <f t="array" ref="G31">(Table684[[#This Row],[Απρ-21]]*(1+Table6[[#This Row],[Απρ-21]]))/SUMPRODUCT(F$2:F$49,(1+'Monthly Returns'!F$2:F$49))</f>
        <v>2.2876403923897115E-2</v>
      </c>
      <c r="H31" s="109">
        <v>2.5515841922327361E-2</v>
      </c>
      <c r="I31" s="107" cm="1">
        <f t="array" ref="I31">(Table684[[#This Row],[Ιουν-21]]*(1+Table6[[#This Row],[Ιουν-21]]))/SUMPRODUCT(H$2:H$49,(1+'Monthly Returns'!H$2:H$49))</f>
        <v>2.5170982437738711E-2</v>
      </c>
      <c r="J31" s="107" cm="1">
        <f t="array" ref="J31">(Table684[[#This Row],[Ιουλ-21]]*(1+Table6[[#This Row],[Ιουλ-21]]))/SUMPRODUCT(I$2:I$49,(1+'Monthly Returns'!I$2:I$49))</f>
        <v>2.4534458506059887E-2</v>
      </c>
      <c r="K31" s="107" cm="1">
        <f t="array" ref="K31">(Table684[[#This Row],[Αυγ-21]]*(1+Table6[[#This Row],[Αυγ-21]]))/SUMPRODUCT(J$2:J$49,(1+'Monthly Returns'!J$2:J$49))</f>
        <v>2.3364835399371755E-2</v>
      </c>
      <c r="L31" s="107" cm="1">
        <f t="array" ref="L31">(Table684[[#This Row],[Σεπ-21]]*(1+Table6[[#This Row],[Σεπ-21]]))/SUMPRODUCT(K$2:K$49,(1+'Monthly Returns'!K$2:K$49))</f>
        <v>2.3645026302845977E-2</v>
      </c>
      <c r="M31" s="107" cm="1">
        <f t="array" ref="M31">(Table684[[#This Row],[Οκτ-21]]*(1+Table6[[#This Row],[Οκτ-21]]))/SUMPRODUCT(L$2:L$49,(1+'Monthly Returns'!L$2:L$49))</f>
        <v>2.2506675116338613E-2</v>
      </c>
      <c r="N31" s="107" cm="1">
        <f t="array" ref="N31">(Table684[[#This Row],[Νοε-21]]*(1+Table6[[#This Row],[Νοε-21]]))/SUMPRODUCT(M$2:M$49,(1+'Monthly Returns'!M$2:M$49))</f>
        <v>2.3075184597715466E-2</v>
      </c>
      <c r="O31" s="109">
        <v>2.5515841922327361E-2</v>
      </c>
      <c r="P31" s="107" cm="1">
        <f t="array" ref="P31">(O31*(1+Table6[[#This Row],[Ιαν-22]]))/SUMPRODUCT(O$2:O$49,(1+'Monthly Returns'!O$2:O$49))</f>
        <v>2.489142240284754E-2</v>
      </c>
      <c r="Q31" s="107" cm="1">
        <f t="array" ref="Q31">(P31*(1+Table6[[#This Row],[Φεβ-22]]))/SUMPRODUCT(P$2:P$49,(1+'Monthly Returns'!P$2:P$49))</f>
        <v>2.5718515456535602E-2</v>
      </c>
      <c r="R31" s="107" cm="1">
        <f t="array" ref="R31">(Q31*(1+Table6[[#This Row],[Μαρ-22]]))/SUMPRODUCT(Q$2:Q$49,(1+'Monthly Returns'!Q$2:Q$49))</f>
        <v>2.3176769593389379E-2</v>
      </c>
      <c r="S31" s="107" cm="1">
        <f t="array" ref="S31">(R31*(1+Table6[[#This Row],[Απρ-22]]))/SUMPRODUCT(R$2:R$49,(1+'Monthly Returns'!R$2:R$49))</f>
        <v>2.4875953009457538E-2</v>
      </c>
      <c r="T31" s="109">
        <v>2.5515841922327361E-2</v>
      </c>
      <c r="U31" s="107" cm="1">
        <f t="array" ref="U31">(T31*(1+Table6[[#This Row],[Ιουν-22]]))/SUMPRODUCT(T$2:T$49,(1+'Monthly Returns'!T$2:T$49))</f>
        <v>2.6627767753576746E-2</v>
      </c>
      <c r="V31" s="107" cm="1">
        <f t="array" ref="V31">(U31*(1+Table6[[#This Row],[Ιουλ-22]]))/SUMPRODUCT(U$2:U$49,(1+'Monthly Returns'!U$2:U$49))</f>
        <v>2.7729190877921858E-2</v>
      </c>
      <c r="W31" s="107" cm="1">
        <f t="array" ref="W31">(V31*(1+Table6[[#This Row],[Αυγ-22]]))/SUMPRODUCT(V$2:V$49,(1+'Monthly Returns'!V$2:V$49))</f>
        <v>2.8014115115382571E-2</v>
      </c>
      <c r="X31" s="107" cm="1">
        <f t="array" ref="X31">(W31*(1+Table6[[#This Row],[Σεπ-22]]))/SUMPRODUCT(W$2:W$49,(1+'Monthly Returns'!W$2:W$49))</f>
        <v>2.9383612464109345E-2</v>
      </c>
      <c r="Y31" s="107" cm="1">
        <f t="array" ref="Y31">(X31*(1+Table6[[#This Row],[Οκτ-22]]))/SUMPRODUCT(X$2:X$49,(1+'Monthly Returns'!X$2:X$49))</f>
        <v>2.7944676051319339E-2</v>
      </c>
      <c r="Z31" s="107" cm="1">
        <f t="array" ref="Z31">(Y31*(1+Table6[[#This Row],[Νοε-22]]))/SUMPRODUCT(Y$2:Y$49,(1+'Monthly Returns'!Y$2:Y$49))</f>
        <v>2.7241530749815491E-2</v>
      </c>
      <c r="AA31" s="109">
        <v>2.5515841922327361E-2</v>
      </c>
      <c r="AB31" s="107" cm="1">
        <f t="array" ref="AB31">(AA31*(1+Table6[[#This Row],[Ιαν-23]]))/SUMPRODUCT(AA$2:AA$49,(1+'Monthly Returns'!AA$2:AA$49))</f>
        <v>2.3088558461457628E-2</v>
      </c>
      <c r="AC31" s="107" cm="1">
        <f t="array" ref="AC31">(AB31*(1+Table6[[#This Row],[Φεβ-23]]))/SUMPRODUCT(AB$2:AB$49,(1+'Monthly Returns'!AB$2:AB$49))</f>
        <v>2.3173555181699741E-2</v>
      </c>
      <c r="AD31" s="107" cm="1">
        <f t="array" ref="AD31">(AC31*(1+Table6[[#This Row],[Μαρ-23]]))/SUMPRODUCT(AC$2:AC$49,(1+'Monthly Returns'!AC$2:AC$49))</f>
        <v>2.3280652183618172E-2</v>
      </c>
      <c r="AE31" s="107" cm="1">
        <f t="array" ref="AE31">(AD31*(1+Table6[[#This Row],[Απρ-23]]))/SUMPRODUCT(AD$2:AD$49,(1+'Monthly Returns'!AD$2:AD$49))</f>
        <v>2.4070205646406866E-2</v>
      </c>
      <c r="AF31" s="109">
        <v>2.5515841922327361E-2</v>
      </c>
      <c r="AG31" s="107" cm="1">
        <f t="array" ref="AG31">(AF31*(1+Table6[[#This Row],[Ιουν-23]]))/SUMPRODUCT(AF$2:AF$49,(1+'Monthly Returns'!AF$2:AF$49))</f>
        <v>2.5159435108518442E-2</v>
      </c>
      <c r="AH31" s="107" cm="1">
        <f t="array" ref="AH31">(AG31*(1+Table6[[#This Row],[Ιουλ-23]]))/SUMPRODUCT(AG$2:AG$49,(1+'Monthly Returns'!AG$2:AG$49))</f>
        <v>2.5287051716919379E-2</v>
      </c>
      <c r="AI31" s="107" cm="1">
        <f t="array" ref="AI31">(AH31*(1+Table6[[#This Row],[Αυγ-23]]))/SUMPRODUCT(AH$2:AH$49,(1+'Monthly Returns'!AH$2:AH$49))</f>
        <v>2.5085797957234614E-2</v>
      </c>
      <c r="AJ31" s="107" cm="1">
        <f t="array" ref="AJ31">(AI31*(1+Table6[[#This Row],[Σεπ-23]]))/SUMPRODUCT(AI$2:AI$49,(1+'Monthly Returns'!AI$2:AI$49))</f>
        <v>2.527266256506102E-2</v>
      </c>
      <c r="AK31" s="107" cm="1">
        <f t="array" ref="AK31">(AJ31*(1+Table6[[#This Row],[Οκτ-23]]))/SUMPRODUCT(AJ$2:AJ$49,(1+'Monthly Returns'!AJ$2:AJ$49))</f>
        <v>2.5064680705477009E-2</v>
      </c>
      <c r="AL31" s="107" cm="1">
        <f t="array" ref="AL31">(AK31*(1+Table6[[#This Row],[Νοε-23]]))/SUMPRODUCT(AK$2:AK$49,(1+'Monthly Returns'!AK$2:AK$49))</f>
        <v>2.2746535516421904E-2</v>
      </c>
      <c r="AM31" s="109">
        <v>2.5515841922327361E-2</v>
      </c>
      <c r="AN31" s="107" cm="1">
        <f t="array" ref="AN31">(AM31*(1+Table6[[#This Row],[Ιαν-24]]))/SUMPRODUCT(AM$2:AM$49,(1+'Monthly Returns'!AM$2:AM$49))</f>
        <v>2.5804777073111056E-2</v>
      </c>
      <c r="AO31" s="107" cm="1">
        <f t="array" ref="AO31">(AN31*(1+Table6[[#This Row],[Φεβ-24]]))/SUMPRODUCT(AN$2:AN$49,(1+'Monthly Returns'!AN$2:AN$49))</f>
        <v>2.5213938884078635E-2</v>
      </c>
      <c r="AP31" s="107" cm="1">
        <f t="array" ref="AP31">(AO31*(1+Table6[[#This Row],[Μαρ-24]]))/SUMPRODUCT(AO$2:AO$49,(1+'Monthly Returns'!AO$2:AO$49))</f>
        <v>2.4591787828156044E-2</v>
      </c>
      <c r="AQ31" s="107" cm="1">
        <f t="array" ref="AQ31">(AP31*(1+Table6[[#This Row],[Απρ-24]]))/SUMPRODUCT(AP$2:AP$49,(1+'Monthly Returns'!AP$2:AP$49))</f>
        <v>2.5703190498404093E-2</v>
      </c>
      <c r="AR31" s="109">
        <v>2.5515841922327361E-2</v>
      </c>
      <c r="AS31" s="107" cm="1">
        <f t="array" ref="AS31">(AR31*(1+Table6[[#This Row],[Ιουν-24]]))/SUMPRODUCT(AR$2:AR$49,(1+'Monthly Returns'!AR$2:AR$49))</f>
        <v>2.6350019487829928E-2</v>
      </c>
      <c r="AT31" s="107" cm="1">
        <f t="array" ref="AT31">(AS31*(1+Table6[[#This Row],[Ιουλ-24]]))/SUMPRODUCT(AS$2:AS$49,(1+'Monthly Returns'!AS$2:AS$49))</f>
        <v>2.8362139520023234E-2</v>
      </c>
      <c r="AU31" s="107" cm="1">
        <f t="array" ref="AU31">(AT31*(1+Table6[[#This Row],[Αυγ-24]]))/SUMPRODUCT(AT$2:AT$49,(1+'Monthly Returns'!AT$2:AT$49))</f>
        <v>2.8574244826122367E-2</v>
      </c>
      <c r="AV31" s="107" cm="1">
        <f t="array" ref="AV31">(AU31*(1+Table6[[#This Row],[Σεπ-24]]))/SUMPRODUCT(AU$2:AU$49,(1+'Monthly Returns'!AU$2:AU$49))</f>
        <v>2.8543066962247982E-2</v>
      </c>
      <c r="AW31" s="107" cm="1">
        <f t="array" ref="AW31">(AV31*(1+Table6[[#This Row],[Οκτ-24]]))/SUMPRODUCT(AV$2:AV$49,(1+'Monthly Returns'!AV$2:AV$49))</f>
        <v>2.8101814027969463E-2</v>
      </c>
      <c r="AX31" s="107" cm="1">
        <f t="array" ref="AX31">(AW31*(1+Table6[[#This Row],[Νοε-24]]))/SUMPRODUCT(AW$2:AW$49,(1+'Monthly Returns'!AW$2:AW$49))</f>
        <v>2.8118291046398586E-2</v>
      </c>
      <c r="AY31" s="109">
        <v>2.5515841922327361E-2</v>
      </c>
      <c r="AZ31" s="107" cm="1">
        <f t="array" ref="AZ31">(AY31*(1+Table6[[#This Row],[Ιαν-25]]))/SUMPRODUCT(AY$2:AY$49,(1+'Monthly Returns'!AY$2:AY$49))</f>
        <v>2.3856741231035278E-2</v>
      </c>
      <c r="BA31" s="107" cm="1">
        <f t="array" ref="BA31">(AZ31*(1+Table6[[#This Row],[Φεβ-25]]))/SUMPRODUCT(AZ$2:AZ$49,(1+'Monthly Returns'!AZ$2:AZ$49))</f>
        <v>2.2487962450987581E-2</v>
      </c>
      <c r="BB31" s="107" cm="1">
        <f t="array" ref="BB31">(BA31*(1+Table6[[#This Row],[Μαρ-25]]))/SUMPRODUCT(BA$2:BA$49,(1+'Monthly Returns'!BA$2:BA$49))</f>
        <v>2.3302203032802199E-2</v>
      </c>
      <c r="BC31" s="107" cm="1">
        <f t="array" ref="BC31">(BB31*(1+Table6[[#This Row],[Απρ-25]]))/SUMPRODUCT(BB$2:BB$49,(1+'Monthly Returns'!BB$2:BB$49))</f>
        <v>2.3504892596380306E-2</v>
      </c>
      <c r="BD31" s="109">
        <v>2.5515841922327361E-2</v>
      </c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</row>
    <row r="32" spans="1:92">
      <c r="A32" s="110" t="s">
        <v>182</v>
      </c>
      <c r="B32" s="110" t="s">
        <v>183</v>
      </c>
      <c r="C32" s="109">
        <v>1.6474795571896409E-2</v>
      </c>
      <c r="D32" s="107" cm="1">
        <f t="array" ref="D32">(Table684[[#This Row],[Ιαν-21]]*(1+Table6[[#This Row],[Ιαν-21]]))/SUMPRODUCT(C$2:C$49,(1+'Monthly Returns'!C$2:C$49))</f>
        <v>1.5550786629274341E-2</v>
      </c>
      <c r="E32" s="107" cm="1">
        <f t="array" ref="E32">(Table684[[#This Row],[Φεβ-21]]*(1+Table6[[#This Row],[Φεβ-21]]))/SUMPRODUCT(D$2:D$49,(1+'Monthly Returns'!D$2:D$49))</f>
        <v>1.5597611528096121E-2</v>
      </c>
      <c r="F32" s="107" cm="1">
        <f t="array" ref="F32">(Table684[[#This Row],[Μαρ-21]]*(1+Table6[[#This Row],[Μαρ-21]]))/SUMPRODUCT(E$2:E$49,(1+'Monthly Returns'!E$2:E$49))</f>
        <v>1.5766281567418685E-2</v>
      </c>
      <c r="G32" s="107" cm="1">
        <f t="array" ref="G32">(Table684[[#This Row],[Απρ-21]]*(1+Table6[[#This Row],[Απρ-21]]))/SUMPRODUCT(F$2:F$49,(1+'Monthly Returns'!F$2:F$49))</f>
        <v>1.6397769066525358E-2</v>
      </c>
      <c r="H32" s="109">
        <v>1.6474795571896409E-2</v>
      </c>
      <c r="I32" s="107" cm="1">
        <f t="array" ref="I32">(Table684[[#This Row],[Ιουν-21]]*(1+Table6[[#This Row],[Ιουν-21]]))/SUMPRODUCT(H$2:H$49,(1+'Monthly Returns'!H$2:H$49))</f>
        <v>1.6552224626095645E-2</v>
      </c>
      <c r="J32" s="107" cm="1">
        <f t="array" ref="J32">(Table684[[#This Row],[Ιουλ-21]]*(1+Table6[[#This Row],[Ιουλ-21]]))/SUMPRODUCT(I$2:I$49,(1+'Monthly Returns'!I$2:I$49))</f>
        <v>1.6779063319263616E-2</v>
      </c>
      <c r="K32" s="107" cm="1">
        <f t="array" ref="K32">(Table684[[#This Row],[Αυγ-21]]*(1+Table6[[#This Row],[Αυγ-21]]))/SUMPRODUCT(J$2:J$49,(1+'Monthly Returns'!J$2:J$49))</f>
        <v>1.6788418269166761E-2</v>
      </c>
      <c r="L32" s="107" cm="1">
        <f t="array" ref="L32">(Table684[[#This Row],[Σεπ-21]]*(1+Table6[[#This Row],[Σεπ-21]]))/SUMPRODUCT(K$2:K$49,(1+'Monthly Returns'!K$2:K$49))</f>
        <v>1.5474122812099931E-2</v>
      </c>
      <c r="M32" s="107" cm="1">
        <f t="array" ref="M32">(Table684[[#This Row],[Οκτ-21]]*(1+Table6[[#This Row],[Οκτ-21]]))/SUMPRODUCT(L$2:L$49,(1+'Monthly Returns'!L$2:L$49))</f>
        <v>1.6385786785375459E-2</v>
      </c>
      <c r="N32" s="107" cm="1">
        <f t="array" ref="N32">(Table684[[#This Row],[Νοε-21]]*(1+Table6[[#This Row],[Νοε-21]]))/SUMPRODUCT(M$2:M$49,(1+'Monthly Returns'!M$2:M$49))</f>
        <v>1.716289389390847E-2</v>
      </c>
      <c r="O32" s="109">
        <v>1.6474795571896409E-2</v>
      </c>
      <c r="P32" s="107" cm="1">
        <f t="array" ref="P32">(O32*(1+Table6[[#This Row],[Ιαν-22]]))/SUMPRODUCT(O$2:O$49,(1+'Monthly Returns'!O$2:O$49))</f>
        <v>1.5018131244593339E-2</v>
      </c>
      <c r="Q32" s="107" cm="1">
        <f t="array" ref="Q32">(P32*(1+Table6[[#This Row],[Φεβ-22]]))/SUMPRODUCT(P$2:P$49,(1+'Monthly Returns'!P$2:P$49))</f>
        <v>1.4669971185214218E-2</v>
      </c>
      <c r="R32" s="107" cm="1">
        <f t="array" ref="R32">(Q32*(1+Table6[[#This Row],[Μαρ-22]]))/SUMPRODUCT(Q$2:Q$49,(1+'Monthly Returns'!Q$2:Q$49))</f>
        <v>1.4809627443423031E-2</v>
      </c>
      <c r="S32" s="107" cm="1">
        <f t="array" ref="S32">(R32*(1+Table6[[#This Row],[Απρ-22]]))/SUMPRODUCT(R$2:R$49,(1+'Monthly Returns'!R$2:R$49))</f>
        <v>1.4283083287124552E-2</v>
      </c>
      <c r="T32" s="109">
        <v>1.6474795571896409E-2</v>
      </c>
      <c r="U32" s="107" cm="1">
        <f t="array" ref="U32">(T32*(1+Table6[[#This Row],[Ιουν-22]]))/SUMPRODUCT(T$2:T$49,(1+'Monthly Returns'!T$2:T$49))</f>
        <v>1.7931607928024593E-2</v>
      </c>
      <c r="V32" s="107" cm="1">
        <f t="array" ref="V32">(U32*(1+Table6[[#This Row],[Ιουλ-22]]))/SUMPRODUCT(U$2:U$49,(1+'Monthly Returns'!U$2:U$49))</f>
        <v>1.8882796659947295E-2</v>
      </c>
      <c r="W32" s="107" cm="1">
        <f t="array" ref="W32">(V32*(1+Table6[[#This Row],[Αυγ-22]]))/SUMPRODUCT(V$2:V$49,(1+'Monthly Returns'!V$2:V$49))</f>
        <v>1.8555477772213568E-2</v>
      </c>
      <c r="X32" s="107" cm="1">
        <f t="array" ref="X32">(W32*(1+Table6[[#This Row],[Σεπ-22]]))/SUMPRODUCT(W$2:W$49,(1+'Monthly Returns'!W$2:W$49))</f>
        <v>1.8836081489712549E-2</v>
      </c>
      <c r="Y32" s="107" cm="1">
        <f t="array" ref="Y32">(X32*(1+Table6[[#This Row],[Οκτ-22]]))/SUMPRODUCT(X$2:X$49,(1+'Monthly Returns'!X$2:X$49))</f>
        <v>1.6887973276212415E-2</v>
      </c>
      <c r="Z32" s="107" cm="1">
        <f t="array" ref="Z32">(Y32*(1+Table6[[#This Row],[Νοε-22]]))/SUMPRODUCT(Y$2:Y$49,(1+'Monthly Returns'!Y$2:Y$49))</f>
        <v>1.7481789575364025E-2</v>
      </c>
      <c r="AA32" s="109">
        <v>1.6474795571896409E-2</v>
      </c>
      <c r="AB32" s="107" cm="1">
        <f t="array" ref="AB32">(AA32*(1+Table6[[#This Row],[Ιαν-23]]))/SUMPRODUCT(AA$2:AA$49,(1+'Monthly Returns'!AA$2:AA$49))</f>
        <v>1.7119235840487749E-2</v>
      </c>
      <c r="AC32" s="107" cm="1">
        <f t="array" ref="AC32">(AB32*(1+Table6[[#This Row],[Φεβ-23]]))/SUMPRODUCT(AB$2:AB$49,(1+'Monthly Returns'!AB$2:AB$49))</f>
        <v>1.6689413485637308E-2</v>
      </c>
      <c r="AD32" s="107" cm="1">
        <f t="array" ref="AD32">(AC32*(1+Table6[[#This Row],[Μαρ-23]]))/SUMPRODUCT(AC$2:AC$49,(1+'Monthly Returns'!AC$2:AC$49))</f>
        <v>1.822248091104552E-2</v>
      </c>
      <c r="AE32" s="107" cm="1">
        <f t="array" ref="AE32">(AD32*(1+Table6[[#This Row],[Απρ-23]]))/SUMPRODUCT(AD$2:AD$49,(1+'Monthly Returns'!AD$2:AD$49))</f>
        <v>1.8922056869691135E-2</v>
      </c>
      <c r="AF32" s="109">
        <v>1.6474795571896409E-2</v>
      </c>
      <c r="AG32" s="107" cm="1">
        <f t="array" ref="AG32">(AF32*(1+Table6[[#This Row],[Ιουν-23]]))/SUMPRODUCT(AF$2:AF$49,(1+'Monthly Returns'!AF$2:AF$49))</f>
        <v>1.7094278147307008E-2</v>
      </c>
      <c r="AH32" s="107" cm="1">
        <f t="array" ref="AH32">(AG32*(1+Table6[[#This Row],[Ιουλ-23]]))/SUMPRODUCT(AG$2:AG$49,(1+'Monthly Returns'!AG$2:AG$49))</f>
        <v>1.6594832595631742E-2</v>
      </c>
      <c r="AI32" s="107" cm="1">
        <f t="array" ref="AI32">(AH32*(1+Table6[[#This Row],[Αυγ-23]]))/SUMPRODUCT(AH$2:AH$49,(1+'Monthly Returns'!AH$2:AH$49))</f>
        <v>1.6220857813020191E-2</v>
      </c>
      <c r="AJ32" s="107" cm="1">
        <f t="array" ref="AJ32">(AI32*(1+Table6[[#This Row],[Σεπ-23]]))/SUMPRODUCT(AI$2:AI$49,(1+'Monthly Returns'!AI$2:AI$49))</f>
        <v>1.5951501944620167E-2</v>
      </c>
      <c r="AK32" s="107" cm="1">
        <f t="array" ref="AK32">(AJ32*(1+Table6[[#This Row],[Οκτ-23]]))/SUMPRODUCT(AJ$2:AJ$49,(1+'Monthly Returns'!AJ$2:AJ$49))</f>
        <v>1.672319847882129E-2</v>
      </c>
      <c r="AL32" s="107" cm="1">
        <f t="array" ref="AL32">(AK32*(1+Table6[[#This Row],[Νοε-23]]))/SUMPRODUCT(AK$2:AK$49,(1+'Monthly Returns'!AK$2:AK$49))</f>
        <v>1.6727694590583313E-2</v>
      </c>
      <c r="AM32" s="109">
        <v>1.6474795571896409E-2</v>
      </c>
      <c r="AN32" s="107" cm="1">
        <f t="array" ref="AN32">(AM32*(1+Table6[[#This Row],[Ιαν-24]]))/SUMPRODUCT(AM$2:AM$49,(1+'Monthly Returns'!AM$2:AM$49))</f>
        <v>1.5982718263714633E-2</v>
      </c>
      <c r="AO32" s="107" cm="1">
        <f t="array" ref="AO32">(AN32*(1+Table6[[#This Row],[Φεβ-24]]))/SUMPRODUCT(AN$2:AN$49,(1+'Monthly Returns'!AN$2:AN$49))</f>
        <v>1.5344878962665865E-2</v>
      </c>
      <c r="AP32" s="107" cm="1">
        <f t="array" ref="AP32">(AO32*(1+Table6[[#This Row],[Μαρ-24]]))/SUMPRODUCT(AO$2:AO$49,(1+'Monthly Returns'!AO$2:AO$49))</f>
        <v>1.4442696272897231E-2</v>
      </c>
      <c r="AQ32" s="107" cm="1">
        <f t="array" ref="AQ32">(AP32*(1+Table6[[#This Row],[Απρ-24]]))/SUMPRODUCT(AP$2:AP$49,(1+'Monthly Returns'!AP$2:AP$49))</f>
        <v>1.4730663780445049E-2</v>
      </c>
      <c r="AR32" s="109">
        <v>1.6474795571896409E-2</v>
      </c>
      <c r="AS32" s="107" cm="1">
        <f t="array" ref="AS32">(AR32*(1+Table6[[#This Row],[Ιουν-24]]))/SUMPRODUCT(AR$2:AR$49,(1+'Monthly Returns'!AR$2:AR$49))</f>
        <v>1.5118205503463067E-2</v>
      </c>
      <c r="AT32" s="107" cm="1">
        <f t="array" ref="AT32">(AS32*(1+Table6[[#This Row],[Ιουλ-24]]))/SUMPRODUCT(AS$2:AS$49,(1+'Monthly Returns'!AS$2:AS$49))</f>
        <v>1.436963999527986E-2</v>
      </c>
      <c r="AU32" s="107" cm="1">
        <f t="array" ref="AU32">(AT32*(1+Table6[[#This Row],[Αυγ-24]]))/SUMPRODUCT(AT$2:AT$49,(1+'Monthly Returns'!AT$2:AT$49))</f>
        <v>1.3848940979472086E-2</v>
      </c>
      <c r="AV32" s="107" cm="1">
        <f t="array" ref="AV32">(AU32*(1+Table6[[#This Row],[Σεπ-24]]))/SUMPRODUCT(AU$2:AU$49,(1+'Monthly Returns'!AU$2:AU$49))</f>
        <v>1.4040201870415095E-2</v>
      </c>
      <c r="AW32" s="107" cm="1">
        <f t="array" ref="AW32">(AV32*(1+Table6[[#This Row],[Οκτ-24]]))/SUMPRODUCT(AV$2:AV$49,(1+'Monthly Returns'!AV$2:AV$49))</f>
        <v>1.2295223772909871E-2</v>
      </c>
      <c r="AX32" s="107" cm="1">
        <f t="array" ref="AX32">(AW32*(1+Table6[[#This Row],[Νοε-24]]))/SUMPRODUCT(AW$2:AW$49,(1+'Monthly Returns'!AW$2:AW$49))</f>
        <v>1.1528398761652662E-2</v>
      </c>
      <c r="AY32" s="109">
        <v>1.6474795571896409E-2</v>
      </c>
      <c r="AZ32" s="107" cm="1">
        <f t="array" ref="AZ32">(AY32*(1+Table6[[#This Row],[Ιαν-25]]))/SUMPRODUCT(AY$2:AY$49,(1+'Monthly Returns'!AY$2:AY$49))</f>
        <v>1.6052587528311082E-2</v>
      </c>
      <c r="BA32" s="107" cm="1">
        <f t="array" ref="BA32">(AZ32*(1+Table6[[#This Row],[Φεβ-25]]))/SUMPRODUCT(AZ$2:AZ$49,(1+'Monthly Returns'!AZ$2:AZ$49))</f>
        <v>1.5052084504736879E-2</v>
      </c>
      <c r="BB32" s="107" cm="1">
        <f t="array" ref="BB32">(BA32*(1+Table6[[#This Row],[Μαρ-25]]))/SUMPRODUCT(BA$2:BA$49,(1+'Monthly Returns'!BA$2:BA$49))</f>
        <v>1.4954972713600813E-2</v>
      </c>
      <c r="BC32" s="107" cm="1">
        <f t="array" ref="BC32">(BB32*(1+Table6[[#This Row],[Απρ-25]]))/SUMPRODUCT(BB$2:BB$49,(1+'Monthly Returns'!BB$2:BB$49))</f>
        <v>1.6753257296216392E-2</v>
      </c>
      <c r="BD32" s="109">
        <v>1.6474795571896409E-2</v>
      </c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6"/>
      <c r="CA32" s="106"/>
      <c r="CB32" s="106"/>
      <c r="CC32" s="106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</row>
    <row r="33" spans="1:92">
      <c r="A33" s="110" t="s">
        <v>204</v>
      </c>
      <c r="B33" s="110" t="s">
        <v>205</v>
      </c>
      <c r="C33" s="109">
        <v>8.4383099270688901E-3</v>
      </c>
      <c r="D33" s="107" cm="1">
        <f t="array" ref="D33">(Table684[[#This Row],[Ιαν-21]]*(1+Table6[[#This Row],[Ιαν-21]]))/SUMPRODUCT(C$2:C$49,(1+'Monthly Returns'!C$2:C$49))</f>
        <v>8.7236526465857903E-3</v>
      </c>
      <c r="E33" s="107" cm="1">
        <f t="array" ref="E33">(Table684[[#This Row],[Φεβ-21]]*(1+Table6[[#This Row],[Φεβ-21]]))/SUMPRODUCT(D$2:D$49,(1+'Monthly Returns'!D$2:D$49))</f>
        <v>8.611604926132008E-3</v>
      </c>
      <c r="F33" s="107" cm="1">
        <f t="array" ref="F33">(Table684[[#This Row],[Μαρ-21]]*(1+Table6[[#This Row],[Μαρ-21]]))/SUMPRODUCT(E$2:E$49,(1+'Monthly Returns'!E$2:E$49))</f>
        <v>8.3563144225036606E-3</v>
      </c>
      <c r="G33" s="107" cm="1">
        <f t="array" ref="G33">(Table684[[#This Row],[Απρ-21]]*(1+Table6[[#This Row],[Απρ-21]]))/SUMPRODUCT(F$2:F$49,(1+'Monthly Returns'!F$2:F$49))</f>
        <v>8.2341940224952784E-3</v>
      </c>
      <c r="H33" s="109">
        <v>8.4383099270688901E-3</v>
      </c>
      <c r="I33" s="107" cm="1">
        <f t="array" ref="I33">(Table684[[#This Row],[Ιουν-21]]*(1+Table6[[#This Row],[Ιουν-21]]))/SUMPRODUCT(H$2:H$49,(1+'Monthly Returns'!H$2:H$49))</f>
        <v>8.4613517593180049E-3</v>
      </c>
      <c r="J33" s="107" cm="1">
        <f t="array" ref="J33">(Table684[[#This Row],[Ιουλ-21]]*(1+Table6[[#This Row],[Ιουλ-21]]))/SUMPRODUCT(I$2:I$49,(1+'Monthly Returns'!I$2:I$49))</f>
        <v>8.7309979894410455E-3</v>
      </c>
      <c r="K33" s="107" cm="1">
        <f t="array" ref="K33">(Table684[[#This Row],[Αυγ-21]]*(1+Table6[[#This Row],[Αυγ-21]]))/SUMPRODUCT(J$2:J$49,(1+'Monthly Returns'!J$2:J$49))</f>
        <v>8.4806550398419389E-3</v>
      </c>
      <c r="L33" s="107" cm="1">
        <f t="array" ref="L33">(Table684[[#This Row],[Σεπ-21]]*(1+Table6[[#This Row],[Σεπ-21]]))/SUMPRODUCT(K$2:K$49,(1+'Monthly Returns'!K$2:K$49))</f>
        <v>8.2846157523740298E-3</v>
      </c>
      <c r="M33" s="107" cm="1">
        <f t="array" ref="M33">(Table684[[#This Row],[Οκτ-21]]*(1+Table6[[#This Row],[Οκτ-21]]))/SUMPRODUCT(L$2:L$49,(1+'Monthly Returns'!L$2:L$49))</f>
        <v>7.5639631382278987E-3</v>
      </c>
      <c r="N33" s="107" cm="1">
        <f t="array" ref="N33">(Table684[[#This Row],[Νοε-21]]*(1+Table6[[#This Row],[Νοε-21]]))/SUMPRODUCT(M$2:M$49,(1+'Monthly Returns'!M$2:M$49))</f>
        <v>7.2622683544552548E-3</v>
      </c>
      <c r="O33" s="109">
        <v>8.4383099270688901E-3</v>
      </c>
      <c r="P33" s="107" cm="1">
        <f t="array" ref="P33">(O33*(1+Table6[[#This Row],[Ιαν-22]]))/SUMPRODUCT(O$2:O$49,(1+'Monthly Returns'!O$2:O$49))</f>
        <v>8.6139514808939825E-3</v>
      </c>
      <c r="Q33" s="107" cm="1">
        <f t="array" ref="Q33">(P33*(1+Table6[[#This Row],[Φεβ-22]]))/SUMPRODUCT(P$2:P$49,(1+'Monthly Returns'!P$2:P$49))</f>
        <v>8.7804829055132538E-3</v>
      </c>
      <c r="R33" s="107" cm="1">
        <f t="array" ref="R33">(Q33*(1+Table6[[#This Row],[Μαρ-22]]))/SUMPRODUCT(Q$2:Q$49,(1+'Monthly Returns'!Q$2:Q$49))</f>
        <v>7.9671998366727913E-3</v>
      </c>
      <c r="S33" s="107" cm="1">
        <f t="array" ref="S33">(R33*(1+Table6[[#This Row],[Απρ-22]]))/SUMPRODUCT(R$2:R$49,(1+'Monthly Returns'!R$2:R$49))</f>
        <v>9.1011192835855296E-3</v>
      </c>
      <c r="T33" s="109">
        <v>8.4383099270688901E-3</v>
      </c>
      <c r="U33" s="107" cm="1">
        <f t="array" ref="U33">(T33*(1+Table6[[#This Row],[Ιουν-22]]))/SUMPRODUCT(T$2:T$49,(1+'Monthly Returns'!T$2:T$49))</f>
        <v>8.9169106462447419E-3</v>
      </c>
      <c r="V33" s="107" cm="1">
        <f t="array" ref="V33">(U33*(1+Table6[[#This Row],[Ιουλ-22]]))/SUMPRODUCT(U$2:U$49,(1+'Monthly Returns'!U$2:U$49))</f>
        <v>8.4868738022137978E-3</v>
      </c>
      <c r="W33" s="107" cm="1">
        <f t="array" ref="W33">(V33*(1+Table6[[#This Row],[Αυγ-22]]))/SUMPRODUCT(V$2:V$49,(1+'Monthly Returns'!V$2:V$49))</f>
        <v>8.7270113822149244E-3</v>
      </c>
      <c r="X33" s="107" cm="1">
        <f t="array" ref="X33">(W33*(1+Table6[[#This Row],[Σεπ-22]]))/SUMPRODUCT(W$2:W$49,(1+'Monthly Returns'!W$2:W$49))</f>
        <v>8.5173693384389924E-3</v>
      </c>
      <c r="Y33" s="107" cm="1">
        <f t="array" ref="Y33">(X33*(1+Table6[[#This Row],[Οκτ-22]]))/SUMPRODUCT(X$2:X$49,(1+'Monthly Returns'!X$2:X$49))</f>
        <v>8.2168126113120344E-3</v>
      </c>
      <c r="Z33" s="107" cm="1">
        <f t="array" ref="Z33">(Y33*(1+Table6[[#This Row],[Νοε-22]]))/SUMPRODUCT(Y$2:Y$49,(1+'Monthly Returns'!Y$2:Y$49))</f>
        <v>7.5860705023675168E-3</v>
      </c>
      <c r="AA33" s="109">
        <v>8.4383099270688901E-3</v>
      </c>
      <c r="AB33" s="107" cm="1">
        <f t="array" ref="AB33">(AA33*(1+Table6[[#This Row],[Ιαν-23]]))/SUMPRODUCT(AA$2:AA$49,(1+'Monthly Returns'!AA$2:AA$49))</f>
        <v>7.9071803830568933E-3</v>
      </c>
      <c r="AC33" s="107" cm="1">
        <f t="array" ref="AC33">(AB33*(1+Table6[[#This Row],[Φεβ-23]]))/SUMPRODUCT(AB$2:AB$49,(1+'Monthly Returns'!AB$2:AB$49))</f>
        <v>8.2214208561497033E-3</v>
      </c>
      <c r="AD33" s="107" cm="1">
        <f t="array" ref="AD33">(AC33*(1+Table6[[#This Row],[Μαρ-23]]))/SUMPRODUCT(AC$2:AC$49,(1+'Monthly Returns'!AC$2:AC$49))</f>
        <v>8.8128823412044355E-3</v>
      </c>
      <c r="AE33" s="107" cm="1">
        <f t="array" ref="AE33">(AD33*(1+Table6[[#This Row],[Απρ-23]]))/SUMPRODUCT(AD$2:AD$49,(1+'Monthly Returns'!AD$2:AD$49))</f>
        <v>8.977127750124627E-3</v>
      </c>
      <c r="AF33" s="109">
        <v>8.4383099270688901E-3</v>
      </c>
      <c r="AG33" s="107" cm="1">
        <f t="array" ref="AG33">(AF33*(1+Table6[[#This Row],[Ιουν-23]]))/SUMPRODUCT(AF$2:AF$49,(1+'Monthly Returns'!AF$2:AF$49))</f>
        <v>8.2983577780201181E-3</v>
      </c>
      <c r="AH33" s="107" cm="1">
        <f t="array" ref="AH33">(AG33*(1+Table6[[#This Row],[Ιουλ-23]]))/SUMPRODUCT(AG$2:AG$49,(1+'Monthly Returns'!AG$2:AG$49))</f>
        <v>8.0412698806562564E-3</v>
      </c>
      <c r="AI33" s="107" cm="1">
        <f t="array" ref="AI33">(AH33*(1+Table6[[#This Row],[Αυγ-23]]))/SUMPRODUCT(AH$2:AH$49,(1+'Monthly Returns'!AH$2:AH$49))</f>
        <v>7.9461228768572898E-3</v>
      </c>
      <c r="AJ33" s="107" cm="1">
        <f t="array" ref="AJ33">(AI33*(1+Table6[[#This Row],[Σεπ-23]]))/SUMPRODUCT(AI$2:AI$49,(1+'Monthly Returns'!AI$2:AI$49))</f>
        <v>7.8294968204889945E-3</v>
      </c>
      <c r="AK33" s="107" cm="1">
        <f t="array" ref="AK33">(AJ33*(1+Table6[[#This Row],[Οκτ-23]]))/SUMPRODUCT(AJ$2:AJ$49,(1+'Monthly Returns'!AJ$2:AJ$49))</f>
        <v>8.753315051391276E-3</v>
      </c>
      <c r="AL33" s="107" cm="1">
        <f t="array" ref="AL33">(AK33*(1+Table6[[#This Row],[Νοε-23]]))/SUMPRODUCT(AK$2:AK$49,(1+'Monthly Returns'!AK$2:AK$49))</f>
        <v>8.4506966057531965E-3</v>
      </c>
      <c r="AM33" s="109">
        <v>8.4383099270688901E-3</v>
      </c>
      <c r="AN33" s="107" cm="1">
        <f t="array" ref="AN33">(AM33*(1+Table6[[#This Row],[Ιαν-24]]))/SUMPRODUCT(AM$2:AM$49,(1+'Monthly Returns'!AM$2:AM$49))</f>
        <v>8.7279844085918854E-3</v>
      </c>
      <c r="AO33" s="107" cm="1">
        <f t="array" ref="AO33">(AN33*(1+Table6[[#This Row],[Φεβ-24]]))/SUMPRODUCT(AN$2:AN$49,(1+'Monthly Returns'!AN$2:AN$49))</f>
        <v>8.064153967425854E-3</v>
      </c>
      <c r="AP33" s="107" cm="1">
        <f t="array" ref="AP33">(AO33*(1+Table6[[#This Row],[Μαρ-24]]))/SUMPRODUCT(AO$2:AO$49,(1+'Monthly Returns'!AO$2:AO$49))</f>
        <v>7.7551160413201385E-3</v>
      </c>
      <c r="AQ33" s="107" cm="1">
        <f t="array" ref="AQ33">(AP33*(1+Table6[[#This Row],[Απρ-24]]))/SUMPRODUCT(AP$2:AP$49,(1+'Monthly Returns'!AP$2:AP$49))</f>
        <v>7.6128453121933398E-3</v>
      </c>
      <c r="AR33" s="109">
        <v>8.4383099270688901E-3</v>
      </c>
      <c r="AS33" s="107" cm="1">
        <f t="array" ref="AS33">(AR33*(1+Table6[[#This Row],[Ιουν-24]]))/SUMPRODUCT(AR$2:AR$49,(1+'Monthly Returns'!AR$2:AR$49))</f>
        <v>8.2429121920419863E-3</v>
      </c>
      <c r="AT33" s="107" cm="1">
        <f t="array" ref="AT33">(AS33*(1+Table6[[#This Row],[Ιουλ-24]]))/SUMPRODUCT(AS$2:AS$49,(1+'Monthly Returns'!AS$2:AS$49))</f>
        <v>8.4513855486353408E-3</v>
      </c>
      <c r="AU33" s="107" cm="1">
        <f t="array" ref="AU33">(AT33*(1+Table6[[#This Row],[Αυγ-24]]))/SUMPRODUCT(AT$2:AT$49,(1+'Monthly Returns'!AT$2:AT$49))</f>
        <v>8.5894659896115777E-3</v>
      </c>
      <c r="AV33" s="107" cm="1">
        <f t="array" ref="AV33">(AU33*(1+Table6[[#This Row],[Σεπ-24]]))/SUMPRODUCT(AU$2:AU$49,(1+'Monthly Returns'!AU$2:AU$49))</f>
        <v>8.9374546092970929E-3</v>
      </c>
      <c r="AW33" s="107" cm="1">
        <f t="array" ref="AW33">(AV33*(1+Table6[[#This Row],[Οκτ-24]]))/SUMPRODUCT(AV$2:AV$49,(1+'Monthly Returns'!AV$2:AV$49))</f>
        <v>9.1914448509797797E-3</v>
      </c>
      <c r="AX33" s="107" cm="1">
        <f t="array" ref="AX33">(AW33*(1+Table6[[#This Row],[Νοε-24]]))/SUMPRODUCT(AW$2:AW$49,(1+'Monthly Returns'!AW$2:AW$49))</f>
        <v>8.884495601546312E-3</v>
      </c>
      <c r="AY33" s="109">
        <v>8.4383099270688901E-3</v>
      </c>
      <c r="AZ33" s="107" cm="1">
        <f t="array" ref="AZ33">(AY33*(1+Table6[[#This Row],[Ιαν-25]]))/SUMPRODUCT(AY$2:AY$49,(1+'Monthly Returns'!AY$2:AY$49))</f>
        <v>8.1240540584173841E-3</v>
      </c>
      <c r="BA33" s="107" cm="1">
        <f t="array" ref="BA33">(AZ33*(1+Table6[[#This Row],[Φεβ-25]]))/SUMPRODUCT(AZ$2:AZ$49,(1+'Monthly Returns'!AZ$2:AZ$49))</f>
        <v>7.8946608361117766E-3</v>
      </c>
      <c r="BB33" s="107" cm="1">
        <f t="array" ref="BB33">(BA33*(1+Table6[[#This Row],[Μαρ-25]]))/SUMPRODUCT(BA$2:BA$49,(1+'Monthly Returns'!BA$2:BA$49))</f>
        <v>8.3089230304678584E-3</v>
      </c>
      <c r="BC33" s="107" cm="1">
        <f t="array" ref="BC33">(BB33*(1+Table6[[#This Row],[Απρ-25]]))/SUMPRODUCT(BB$2:BB$49,(1+'Monthly Returns'!BB$2:BB$49))</f>
        <v>8.8421458573144408E-3</v>
      </c>
      <c r="BD33" s="109">
        <v>8.4383099270688901E-3</v>
      </c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</row>
    <row r="34" spans="1:92">
      <c r="A34" s="110" t="s">
        <v>207</v>
      </c>
      <c r="B34" s="110" t="s">
        <v>208</v>
      </c>
      <c r="C34" s="109">
        <v>1.0911761619976918E-2</v>
      </c>
      <c r="D34" s="107" cm="1">
        <f t="array" ref="D34">(Table684[[#This Row],[Ιαν-21]]*(1+Table6[[#This Row],[Ιαν-21]]))/SUMPRODUCT(C$2:C$49,(1+'Monthly Returns'!C$2:C$49))</f>
        <v>1.1264192473593053E-2</v>
      </c>
      <c r="E34" s="107" cm="1">
        <f t="array" ref="E34">(Table684[[#This Row],[Φεβ-21]]*(1+Table6[[#This Row],[Φεβ-21]]))/SUMPRODUCT(D$2:D$49,(1+'Monthly Returns'!D$2:D$49))</f>
        <v>1.0020875900739044E-2</v>
      </c>
      <c r="F34" s="107" cm="1">
        <f t="array" ref="F34">(Table684[[#This Row],[Μαρ-21]]*(1+Table6[[#This Row],[Μαρ-21]]))/SUMPRODUCT(E$2:E$49,(1+'Monthly Returns'!E$2:E$49))</f>
        <v>1.0206197098556235E-2</v>
      </c>
      <c r="G34" s="107" cm="1">
        <f t="array" ref="G34">(Table684[[#This Row],[Απρ-21]]*(1+Table6[[#This Row],[Απρ-21]]))/SUMPRODUCT(F$2:F$49,(1+'Monthly Returns'!F$2:F$49))</f>
        <v>9.6285492236862242E-3</v>
      </c>
      <c r="H34" s="109">
        <v>1.0911761619976918E-2</v>
      </c>
      <c r="I34" s="107" cm="1">
        <f t="array" ref="I34">(Table684[[#This Row],[Ιουν-21]]*(1+Table6[[#This Row],[Ιουν-21]]))/SUMPRODUCT(H$2:H$49,(1+'Monthly Returns'!H$2:H$49))</f>
        <v>1.1401395161930184E-2</v>
      </c>
      <c r="J34" s="107" cm="1">
        <f t="array" ref="J34">(Table684[[#This Row],[Ιουλ-21]]*(1+Table6[[#This Row],[Ιουλ-21]]))/SUMPRODUCT(I$2:I$49,(1+'Monthly Returns'!I$2:I$49))</f>
        <v>1.1760232695535305E-2</v>
      </c>
      <c r="K34" s="107" cm="1">
        <f t="array" ref="K34">(Table684[[#This Row],[Αυγ-21]]*(1+Table6[[#This Row],[Αυγ-21]]))/SUMPRODUCT(J$2:J$49,(1+'Monthly Returns'!J$2:J$49))</f>
        <v>1.2690348941839784E-2</v>
      </c>
      <c r="L34" s="107" cm="1">
        <f t="array" ref="L34">(Table684[[#This Row],[Σεπ-21]]*(1+Table6[[#This Row],[Σεπ-21]]))/SUMPRODUCT(K$2:K$49,(1+'Monthly Returns'!K$2:K$49))</f>
        <v>1.306464870938592E-2</v>
      </c>
      <c r="M34" s="107" cm="1">
        <f t="array" ref="M34">(Table684[[#This Row],[Οκτ-21]]*(1+Table6[[#This Row],[Οκτ-21]]))/SUMPRODUCT(L$2:L$49,(1+'Monthly Returns'!L$2:L$49))</f>
        <v>1.2235681814628242E-2</v>
      </c>
      <c r="N34" s="107" cm="1">
        <f t="array" ref="N34">(Table684[[#This Row],[Νοε-21]]*(1+Table6[[#This Row],[Νοε-21]]))/SUMPRODUCT(M$2:M$49,(1+'Monthly Returns'!M$2:M$49))</f>
        <v>1.3420794439679922E-2</v>
      </c>
      <c r="O34" s="109">
        <v>1.0911761619976918E-2</v>
      </c>
      <c r="P34" s="107" cm="1">
        <f t="array" ref="P34">(O34*(1+Table6[[#This Row],[Ιαν-22]]))/SUMPRODUCT(O$2:O$49,(1+'Monthly Returns'!O$2:O$49))</f>
        <v>1.0501656432040424E-2</v>
      </c>
      <c r="Q34" s="107" cm="1">
        <f t="array" ref="Q34">(P34*(1+Table6[[#This Row],[Φεβ-22]]))/SUMPRODUCT(P$2:P$49,(1+'Monthly Returns'!P$2:P$49))</f>
        <v>1.0407390606566052E-2</v>
      </c>
      <c r="R34" s="107" cm="1">
        <f t="array" ref="R34">(Q34*(1+Table6[[#This Row],[Μαρ-22]]))/SUMPRODUCT(Q$2:Q$49,(1+'Monthly Returns'!Q$2:Q$49))</f>
        <v>1.0861159591068476E-2</v>
      </c>
      <c r="S34" s="107" cm="1">
        <f t="array" ref="S34">(R34*(1+Table6[[#This Row],[Απρ-22]]))/SUMPRODUCT(R$2:R$49,(1+'Monthly Returns'!R$2:R$49))</f>
        <v>1.058376680484677E-2</v>
      </c>
      <c r="T34" s="109">
        <v>1.0911761619976918E-2</v>
      </c>
      <c r="U34" s="107" cm="1">
        <f t="array" ref="U34">(T34*(1+Table6[[#This Row],[Ιουν-22]]))/SUMPRODUCT(T$2:T$49,(1+'Monthly Returns'!T$2:T$49))</f>
        <v>1.1459554195663978E-2</v>
      </c>
      <c r="V34" s="107" cm="1">
        <f t="array" ref="V34">(U34*(1+Table6[[#This Row],[Ιουλ-22]]))/SUMPRODUCT(U$2:U$49,(1+'Monthly Returns'!U$2:U$49))</f>
        <v>1.167554664650341E-2</v>
      </c>
      <c r="W34" s="107" cm="1">
        <f t="array" ref="W34">(V34*(1+Table6[[#This Row],[Αυγ-22]]))/SUMPRODUCT(V$2:V$49,(1+'Monthly Returns'!V$2:V$49))</f>
        <v>1.2749049152186146E-2</v>
      </c>
      <c r="X34" s="107" cm="1">
        <f t="array" ref="X34">(W34*(1+Table6[[#This Row],[Σεπ-22]]))/SUMPRODUCT(W$2:W$49,(1+'Monthly Returns'!W$2:W$49))</f>
        <v>1.2830196812238898E-2</v>
      </c>
      <c r="Y34" s="107" cm="1">
        <f t="array" ref="Y34">(X34*(1+Table6[[#This Row],[Οκτ-22]]))/SUMPRODUCT(X$2:X$49,(1+'Monthly Returns'!X$2:X$49))</f>
        <v>1.2908902890361921E-2</v>
      </c>
      <c r="Z34" s="107" cm="1">
        <f t="array" ref="Z34">(Y34*(1+Table6[[#This Row],[Νοε-22]]))/SUMPRODUCT(Y$2:Y$49,(1+'Monthly Returns'!Y$2:Y$49))</f>
        <v>1.1795785876112231E-2</v>
      </c>
      <c r="AA34" s="109">
        <v>1.0911761619976918E-2</v>
      </c>
      <c r="AB34" s="107" cm="1">
        <f t="array" ref="AB34">(AA34*(1+Table6[[#This Row],[Ιαν-23]]))/SUMPRODUCT(AA$2:AA$49,(1+'Monthly Returns'!AA$2:AA$49))</f>
        <v>1.0208937174280987E-2</v>
      </c>
      <c r="AC34" s="107" cm="1">
        <f t="array" ref="AC34">(AB34*(1+Table6[[#This Row],[Φεβ-23]]))/SUMPRODUCT(AB$2:AB$49,(1+'Monthly Returns'!AB$2:AB$49))</f>
        <v>1.0993818485909993E-2</v>
      </c>
      <c r="AD34" s="107" cm="1">
        <f t="array" ref="AD34">(AC34*(1+Table6[[#This Row],[Μαρ-23]]))/SUMPRODUCT(AC$2:AC$49,(1+'Monthly Returns'!AC$2:AC$49))</f>
        <v>1.1485842369682584E-2</v>
      </c>
      <c r="AE34" s="107" cm="1">
        <f t="array" ref="AE34">(AD34*(1+Table6[[#This Row],[Απρ-23]]))/SUMPRODUCT(AD$2:AD$49,(1+'Monthly Returns'!AD$2:AD$49))</f>
        <v>1.1294184790097569E-2</v>
      </c>
      <c r="AF34" s="109">
        <v>1.0911761619976918E-2</v>
      </c>
      <c r="AG34" s="107" cm="1">
        <f t="array" ref="AG34">(AF34*(1+Table6[[#This Row],[Ιουν-23]]))/SUMPRODUCT(AF$2:AF$49,(1+'Monthly Returns'!AF$2:AF$49))</f>
        <v>1.1147536569974633E-2</v>
      </c>
      <c r="AH34" s="107" cm="1">
        <f t="array" ref="AH34">(AG34*(1+Table6[[#This Row],[Ιουλ-23]]))/SUMPRODUCT(AG$2:AG$49,(1+'Monthly Returns'!AG$2:AG$49))</f>
        <v>1.0964905664365202E-2</v>
      </c>
      <c r="AI34" s="107" cm="1">
        <f t="array" ref="AI34">(AH34*(1+Table6[[#This Row],[Αυγ-23]]))/SUMPRODUCT(AH$2:AH$49,(1+'Monthly Returns'!AH$2:AH$49))</f>
        <v>1.091675868700707E-2</v>
      </c>
      <c r="AJ34" s="107" cm="1">
        <f t="array" ref="AJ34">(AI34*(1+Table6[[#This Row],[Σεπ-23]]))/SUMPRODUCT(AI$2:AI$49,(1+'Monthly Returns'!AI$2:AI$49))</f>
        <v>1.0472882504477209E-2</v>
      </c>
      <c r="AK34" s="107" cm="1">
        <f t="array" ref="AK34">(AJ34*(1+Table6[[#This Row],[Οκτ-23]]))/SUMPRODUCT(AJ$2:AJ$49,(1+'Monthly Returns'!AJ$2:AJ$49))</f>
        <v>1.0699462654168934E-2</v>
      </c>
      <c r="AL34" s="107" cm="1">
        <f t="array" ref="AL34">(AK34*(1+Table6[[#This Row],[Νοε-23]]))/SUMPRODUCT(AK$2:AK$49,(1+'Monthly Returns'!AK$2:AK$49))</f>
        <v>9.3302444794083946E-3</v>
      </c>
      <c r="AM34" s="109">
        <v>1.0911761619976918E-2</v>
      </c>
      <c r="AN34" s="107" cm="1">
        <f t="array" ref="AN34">(AM34*(1+Table6[[#This Row],[Ιαν-24]]))/SUMPRODUCT(AM$2:AM$49,(1+'Monthly Returns'!AM$2:AM$49))</f>
        <v>1.0725300548220594E-2</v>
      </c>
      <c r="AO34" s="107" cm="1">
        <f t="array" ref="AO34">(AN34*(1+Table6[[#This Row],[Φεβ-24]]))/SUMPRODUCT(AN$2:AN$49,(1+'Monthly Returns'!AN$2:AN$49))</f>
        <v>1.0969038809967321E-2</v>
      </c>
      <c r="AP34" s="107" cm="1">
        <f t="array" ref="AP34">(AO34*(1+Table6[[#This Row],[Μαρ-24]]))/SUMPRODUCT(AO$2:AO$49,(1+'Monthly Returns'!AO$2:AO$49))</f>
        <v>1.0471749295317537E-2</v>
      </c>
      <c r="AQ34" s="107" cm="1">
        <f t="array" ref="AQ34">(AP34*(1+Table6[[#This Row],[Απρ-24]]))/SUMPRODUCT(AP$2:AP$49,(1+'Monthly Returns'!AP$2:AP$49))</f>
        <v>1.1013226229245419E-2</v>
      </c>
      <c r="AR34" s="109">
        <v>1.0911761619976918E-2</v>
      </c>
      <c r="AS34" s="107" cm="1">
        <f t="array" ref="AS34">(AR34*(1+Table6[[#This Row],[Ιουν-24]]))/SUMPRODUCT(AR$2:AR$49,(1+'Monthly Returns'!AR$2:AR$49))</f>
        <v>1.067233653096312E-2</v>
      </c>
      <c r="AT34" s="107" cm="1">
        <f t="array" ref="AT34">(AS34*(1+Table6[[#This Row],[Ιουλ-24]]))/SUMPRODUCT(AS$2:AS$49,(1+'Monthly Returns'!AS$2:AS$49))</f>
        <v>1.1205946771178895E-2</v>
      </c>
      <c r="AU34" s="107" cm="1">
        <f t="array" ref="AU34">(AT34*(1+Table6[[#This Row],[Αυγ-24]]))/SUMPRODUCT(AT$2:AT$49,(1+'Monthly Returns'!AT$2:AT$49))</f>
        <v>1.1569048097324062E-2</v>
      </c>
      <c r="AV34" s="107" cm="1">
        <f t="array" ref="AV34">(AU34*(1+Table6[[#This Row],[Σεπ-24]]))/SUMPRODUCT(AU$2:AU$49,(1+'Monthly Returns'!AU$2:AU$49))</f>
        <v>1.1558738966197872E-2</v>
      </c>
      <c r="AW34" s="107" cm="1">
        <f t="array" ref="AW34">(AV34*(1+Table6[[#This Row],[Οκτ-24]]))/SUMPRODUCT(AV$2:AV$49,(1+'Monthly Returns'!AV$2:AV$49))</f>
        <v>1.1547925373616749E-2</v>
      </c>
      <c r="AX34" s="107" cm="1">
        <f t="array" ref="AX34">(AW34*(1+Table6[[#This Row],[Νοε-24]]))/SUMPRODUCT(AW$2:AW$49,(1+'Monthly Returns'!AW$2:AW$49))</f>
        <v>1.2217038532448453E-2</v>
      </c>
      <c r="AY34" s="109">
        <v>1.0911761619976918E-2</v>
      </c>
      <c r="AZ34" s="107" cm="1">
        <f t="array" ref="AZ34">(AY34*(1+Table6[[#This Row],[Ιαν-25]]))/SUMPRODUCT(AY$2:AY$49,(1+'Monthly Returns'!AY$2:AY$49))</f>
        <v>1.099811586251963E-2</v>
      </c>
      <c r="BA34" s="107" cm="1">
        <f t="array" ref="BA34">(AZ34*(1+Table6[[#This Row],[Φεβ-25]]))/SUMPRODUCT(AZ$2:AZ$49,(1+'Monthly Returns'!AZ$2:AZ$49))</f>
        <v>1.041422771195979E-2</v>
      </c>
      <c r="BB34" s="107" cm="1">
        <f t="array" ref="BB34">(BA34*(1+Table6[[#This Row],[Μαρ-25]]))/SUMPRODUCT(BA$2:BA$49,(1+'Monthly Returns'!BA$2:BA$49))</f>
        <v>1.0839246831862446E-2</v>
      </c>
      <c r="BC34" s="107" cm="1">
        <f t="array" ref="BC34">(BB34*(1+Table6[[#This Row],[Απρ-25]]))/SUMPRODUCT(BB$2:BB$49,(1+'Monthly Returns'!BB$2:BB$49))</f>
        <v>1.1478915496967152E-2</v>
      </c>
      <c r="BD34" s="109">
        <v>1.0911761619976918E-2</v>
      </c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</row>
    <row r="35" spans="1:92">
      <c r="A35" s="110" t="s">
        <v>213</v>
      </c>
      <c r="B35" s="110" t="s">
        <v>214</v>
      </c>
      <c r="C35" s="109">
        <v>2.9430280138495423E-2</v>
      </c>
      <c r="D35" s="107" cm="1">
        <f t="array" ref="D35">(Table684[[#This Row],[Ιαν-21]]*(1+Table6[[#This Row],[Ιαν-21]]))/SUMPRODUCT(C$2:C$49,(1+'Monthly Returns'!C$2:C$49))</f>
        <v>2.6306438893497888E-2</v>
      </c>
      <c r="E35" s="107" cm="1">
        <f t="array" ref="E35">(Table684[[#This Row],[Φεβ-21]]*(1+Table6[[#This Row],[Φεβ-21]]))/SUMPRODUCT(D$2:D$49,(1+'Monthly Returns'!D$2:D$49))</f>
        <v>2.7879606705190331E-2</v>
      </c>
      <c r="F35" s="107" cm="1">
        <f t="array" ref="F35">(Table684[[#This Row],[Μαρ-21]]*(1+Table6[[#This Row],[Μαρ-21]]))/SUMPRODUCT(E$2:E$49,(1+'Monthly Returns'!E$2:E$49))</f>
        <v>2.3935520487941713E-2</v>
      </c>
      <c r="G35" s="107" cm="1">
        <f t="array" ref="G35">(Table684[[#This Row],[Απρ-21]]*(1+Table6[[#This Row],[Απρ-21]]))/SUMPRODUCT(F$2:F$49,(1+'Monthly Returns'!F$2:F$49))</f>
        <v>2.2764388487646968E-2</v>
      </c>
      <c r="H35" s="109">
        <v>2.9430280138495423E-2</v>
      </c>
      <c r="I35" s="107" cm="1">
        <f t="array" ref="I35">(Table684[[#This Row],[Ιουν-21]]*(1+Table6[[#This Row],[Ιουν-21]]))/SUMPRODUCT(H$2:H$49,(1+'Monthly Returns'!H$2:H$49))</f>
        <v>3.0345193887066402E-2</v>
      </c>
      <c r="J35" s="107" cm="1">
        <f t="array" ref="J35">(Table684[[#This Row],[Ιουλ-21]]*(1+Table6[[#This Row],[Ιουλ-21]]))/SUMPRODUCT(I$2:I$49,(1+'Monthly Returns'!I$2:I$49))</f>
        <v>2.9263294232054645E-2</v>
      </c>
      <c r="K35" s="107" cm="1">
        <f t="array" ref="K35">(Table684[[#This Row],[Αυγ-21]]*(1+Table6[[#This Row],[Αυγ-21]]))/SUMPRODUCT(J$2:J$49,(1+'Monthly Returns'!J$2:J$49))</f>
        <v>2.786253238348179E-2</v>
      </c>
      <c r="L35" s="107" cm="1">
        <f t="array" ref="L35">(Table684[[#This Row],[Σεπ-21]]*(1+Table6[[#This Row],[Σεπ-21]]))/SUMPRODUCT(K$2:K$49,(1+'Monthly Returns'!K$2:K$49))</f>
        <v>2.5952220353460183E-2</v>
      </c>
      <c r="M35" s="107" cm="1">
        <f t="array" ref="M35">(Table684[[#This Row],[Οκτ-21]]*(1+Table6[[#This Row],[Οκτ-21]]))/SUMPRODUCT(L$2:L$49,(1+'Monthly Returns'!L$2:L$49))</f>
        <v>2.5832531828913666E-2</v>
      </c>
      <c r="N35" s="107" cm="1">
        <f t="array" ref="N35">(Table684[[#This Row],[Νοε-21]]*(1+Table6[[#This Row],[Νοε-21]]))/SUMPRODUCT(M$2:M$49,(1+'Monthly Returns'!M$2:M$49))</f>
        <v>2.4122042583510504E-2</v>
      </c>
      <c r="O35" s="109">
        <v>2.9430280138495423E-2</v>
      </c>
      <c r="P35" s="107" cm="1">
        <f t="array" ref="P35">(O35*(1+Table6[[#This Row],[Ιαν-22]]))/SUMPRODUCT(O$2:O$49,(1+'Monthly Returns'!O$2:O$49))</f>
        <v>2.8434008788055947E-2</v>
      </c>
      <c r="Q35" s="107" cm="1">
        <f t="array" ref="Q35">(P35*(1+Table6[[#This Row],[Φεβ-22]]))/SUMPRODUCT(P$2:P$49,(1+'Monthly Returns'!P$2:P$49))</f>
        <v>2.5377705833866136E-2</v>
      </c>
      <c r="R35" s="107" cm="1">
        <f t="array" ref="R35">(Q35*(1+Table6[[#This Row],[Μαρ-22]]))/SUMPRODUCT(Q$2:Q$49,(1+'Monthly Returns'!Q$2:Q$49))</f>
        <v>2.550681242018436E-2</v>
      </c>
      <c r="S35" s="107" cm="1">
        <f t="array" ref="S35">(R35*(1+Table6[[#This Row],[Απρ-22]]))/SUMPRODUCT(R$2:R$49,(1+'Monthly Returns'!R$2:R$49))</f>
        <v>2.2579238414269065E-2</v>
      </c>
      <c r="T35" s="109">
        <v>2.9430280138495423E-2</v>
      </c>
      <c r="U35" s="107" cm="1">
        <f t="array" ref="U35">(T35*(1+Table6[[#This Row],[Ιουν-22]]))/SUMPRODUCT(T$2:T$49,(1+'Monthly Returns'!T$2:T$49))</f>
        <v>2.9076477904041335E-2</v>
      </c>
      <c r="V35" s="107" cm="1">
        <f t="array" ref="V35">(U35*(1+Table6[[#This Row],[Ιουλ-22]]))/SUMPRODUCT(U$2:U$49,(1+'Monthly Returns'!U$2:U$49))</f>
        <v>2.731262810273577E-2</v>
      </c>
      <c r="W35" s="107" cm="1">
        <f t="array" ref="W35">(V35*(1+Table6[[#This Row],[Αυγ-22]]))/SUMPRODUCT(V$2:V$49,(1+'Monthly Returns'!V$2:V$49))</f>
        <v>2.5382816966469754E-2</v>
      </c>
      <c r="X35" s="107" cm="1">
        <f t="array" ref="X35">(W35*(1+Table6[[#This Row],[Σεπ-22]]))/SUMPRODUCT(W$2:W$49,(1+'Monthly Returns'!W$2:W$49))</f>
        <v>2.116557176064731E-2</v>
      </c>
      <c r="Y35" s="107" cm="1">
        <f t="array" ref="Y35">(X35*(1+Table6[[#This Row],[Οκτ-22]]))/SUMPRODUCT(X$2:X$49,(1+'Monthly Returns'!X$2:X$49))</f>
        <v>1.6669485607536214E-2</v>
      </c>
      <c r="Z35" s="107" cm="1">
        <f t="array" ref="Z35">(Y35*(1+Table6[[#This Row],[Νοε-22]]))/SUMPRODUCT(Y$2:Y$49,(1+'Monthly Returns'!Y$2:Y$49))</f>
        <v>1.926985794895816E-2</v>
      </c>
      <c r="AA35" s="109">
        <v>2.9430280138495423E-2</v>
      </c>
      <c r="AB35" s="107" cm="1">
        <f t="array" ref="AB35">(AA35*(1+Table6[[#This Row],[Ιαν-23]]))/SUMPRODUCT(AA$2:AA$49,(1+'Monthly Returns'!AA$2:AA$49))</f>
        <v>3.1183303429037749E-2</v>
      </c>
      <c r="AC35" s="107" cm="1">
        <f t="array" ref="AC35">(AB35*(1+Table6[[#This Row],[Φεβ-23]]))/SUMPRODUCT(AB$2:AB$49,(1+'Monthly Returns'!AB$2:AB$49))</f>
        <v>2.9416843311942525E-2</v>
      </c>
      <c r="AD35" s="107" cm="1">
        <f t="array" ref="AD35">(AC35*(1+Table6[[#This Row],[Μαρ-23]]))/SUMPRODUCT(AC$2:AC$49,(1+'Monthly Returns'!AC$2:AC$49))</f>
        <v>3.3533983983436211E-2</v>
      </c>
      <c r="AE35" s="107" cm="1">
        <f t="array" ref="AE35">(AD35*(1+Table6[[#This Row],[Απρ-23]]))/SUMPRODUCT(AD$2:AD$49,(1+'Monthly Returns'!AD$2:AD$49))</f>
        <v>3.2139048097047797E-2</v>
      </c>
      <c r="AF35" s="109">
        <v>2.9430280138495423E-2</v>
      </c>
      <c r="AG35" s="107" cm="1">
        <f t="array" ref="AG35">(AF35*(1+Table6[[#This Row],[Ιουν-23]]))/SUMPRODUCT(AF$2:AF$49,(1+'Monthly Returns'!AF$2:AF$49))</f>
        <v>3.3515288748521402E-2</v>
      </c>
      <c r="AH35" s="107" cm="1">
        <f t="array" ref="AH35">(AG35*(1+Table6[[#This Row],[Ιουλ-23]]))/SUMPRODUCT(AG$2:AG$49,(1+'Monthly Returns'!AG$2:AG$49))</f>
        <v>3.3921699922288211E-2</v>
      </c>
      <c r="AI35" s="107" cm="1">
        <f t="array" ref="AI35">(AH35*(1+Table6[[#This Row],[Αυγ-23]]))/SUMPRODUCT(AH$2:AH$49,(1+'Monthly Returns'!AH$2:AH$49))</f>
        <v>3.4682162127062162E-2</v>
      </c>
      <c r="AJ35" s="107" cm="1">
        <f t="array" ref="AJ35">(AI35*(1+Table6[[#This Row],[Σεπ-23]]))/SUMPRODUCT(AI$2:AI$49,(1+'Monthly Returns'!AI$2:AI$49))</f>
        <v>3.1631616465682737E-2</v>
      </c>
      <c r="AK35" s="107" cm="1">
        <f t="array" ref="AK35">(AJ35*(1+Table6[[#This Row],[Οκτ-23]]))/SUMPRODUCT(AJ$2:AJ$49,(1+'Monthly Returns'!AJ$2:AJ$49))</f>
        <v>3.3184920954700499E-2</v>
      </c>
      <c r="AL35" s="107" cm="1">
        <f t="array" ref="AL35">(AK35*(1+Table6[[#This Row],[Νοε-23]]))/SUMPRODUCT(AK$2:AK$49,(1+'Monthly Returns'!AK$2:AK$49))</f>
        <v>3.5036419949183724E-2</v>
      </c>
      <c r="AM35" s="109">
        <v>2.9430280138495423E-2</v>
      </c>
      <c r="AN35" s="107" cm="1">
        <f t="array" ref="AN35">(AM35*(1+Table6[[#This Row],[Ιαν-24]]))/SUMPRODUCT(AM$2:AM$49,(1+'Monthly Returns'!AM$2:AM$49))</f>
        <v>2.5600059742534029E-2</v>
      </c>
      <c r="AO35" s="107" cm="1">
        <f t="array" ref="AO35">(AN35*(1+Table6[[#This Row],[Φεβ-24]]))/SUMPRODUCT(AN$2:AN$49,(1+'Monthly Returns'!AN$2:AN$49))</f>
        <v>2.8421184798623177E-2</v>
      </c>
      <c r="AP35" s="107" cm="1">
        <f t="array" ref="AP35">(AO35*(1+Table6[[#This Row],[Μαρ-24]]))/SUMPRODUCT(AO$2:AO$49,(1+'Monthly Returns'!AO$2:AO$49))</f>
        <v>2.9756261156878381E-2</v>
      </c>
      <c r="AQ35" s="107" cm="1">
        <f t="array" ref="AQ35">(AP35*(1+Table6[[#This Row],[Απρ-24]]))/SUMPRODUCT(AP$2:AP$49,(1+'Monthly Returns'!AP$2:AP$49))</f>
        <v>3.2568295744836412E-2</v>
      </c>
      <c r="AR35" s="109">
        <v>2.9430280138495423E-2</v>
      </c>
      <c r="AS35" s="107" cm="1">
        <f t="array" ref="AS35">(AR35*(1+Table6[[#This Row],[Ιουν-24]]))/SUMPRODUCT(AR$2:AR$49,(1+'Monthly Returns'!AR$2:AR$49))</f>
        <v>2.8671373996475513E-2</v>
      </c>
      <c r="AT35" s="107" cm="1">
        <f t="array" ref="AT35">(AS35*(1+Table6[[#This Row],[Ιουλ-24]]))/SUMPRODUCT(AS$2:AS$49,(1+'Monthly Returns'!AS$2:AS$49))</f>
        <v>2.8741083207885564E-2</v>
      </c>
      <c r="AU35" s="107" cm="1">
        <f t="array" ref="AU35">(AT35*(1+Table6[[#This Row],[Αυγ-24]]))/SUMPRODUCT(AT$2:AT$49,(1+'Monthly Returns'!AT$2:AT$49))</f>
        <v>2.8152932130302316E-2</v>
      </c>
      <c r="AV35" s="107" cm="1">
        <f t="array" ref="AV35">(AU35*(1+Table6[[#This Row],[Σεπ-24]]))/SUMPRODUCT(AU$2:AU$49,(1+'Monthly Returns'!AU$2:AU$49))</f>
        <v>2.8947184802429637E-2</v>
      </c>
      <c r="AW35" s="107" cm="1">
        <f t="array" ref="AW35">(AV35*(1+Table6[[#This Row],[Οκτ-24]]))/SUMPRODUCT(AV$2:AV$49,(1+'Monthly Returns'!AV$2:AV$49))</f>
        <v>2.7404226055724786E-2</v>
      </c>
      <c r="AX35" s="107" cm="1">
        <f t="array" ref="AX35">(AW35*(1+Table6[[#This Row],[Νοε-24]]))/SUMPRODUCT(AW$2:AW$49,(1+'Monthly Returns'!AW$2:AW$49))</f>
        <v>2.7218436766973868E-2</v>
      </c>
      <c r="AY35" s="109">
        <v>2.9430280138495423E-2</v>
      </c>
      <c r="AZ35" s="107" cm="1">
        <f t="array" ref="AZ35">(AY35*(1+Table6[[#This Row],[Ιαν-25]]))/SUMPRODUCT(AY$2:AY$49,(1+'Monthly Returns'!AY$2:AY$49))</f>
        <v>2.9261225053424166E-2</v>
      </c>
      <c r="BA35" s="107" cm="1">
        <f t="array" ref="BA35">(AZ35*(1+Table6[[#This Row],[Φεβ-25]]))/SUMPRODUCT(AZ$2:AZ$49,(1+'Monthly Returns'!AZ$2:AZ$49))</f>
        <v>2.6908060724124026E-2</v>
      </c>
      <c r="BB35" s="107" cm="1">
        <f t="array" ref="BB35">(BA35*(1+Table6[[#This Row],[Μαρ-25]]))/SUMPRODUCT(BA$2:BA$49,(1+'Monthly Returns'!BA$2:BA$49))</f>
        <v>2.4501998193980756E-2</v>
      </c>
      <c r="BC35" s="107" cm="1">
        <f t="array" ref="BC35">(BB35*(1+Table6[[#This Row],[Απρ-25]]))/SUMPRODUCT(BB$2:BB$49,(1+'Monthly Returns'!BB$2:BB$49))</f>
        <v>2.2653098641405588E-2</v>
      </c>
      <c r="BD35" s="109">
        <v>2.9430280138495423E-2</v>
      </c>
      <c r="BE35" s="106"/>
      <c r="BF35" s="106"/>
      <c r="BG35" s="106"/>
      <c r="BH35" s="106"/>
      <c r="BI35" s="106"/>
      <c r="BJ35" s="106"/>
      <c r="BK35" s="106"/>
      <c r="BL35" s="106"/>
      <c r="BM35" s="106"/>
      <c r="BN35" s="106"/>
      <c r="BO35" s="106"/>
      <c r="BP35" s="106"/>
      <c r="BQ35" s="106"/>
      <c r="BR35" s="106"/>
      <c r="BS35" s="106"/>
      <c r="BT35" s="106"/>
      <c r="BU35" s="106"/>
      <c r="BV35" s="106"/>
      <c r="BW35" s="106"/>
      <c r="BX35" s="106"/>
      <c r="BY35" s="106"/>
      <c r="BZ35" s="106"/>
      <c r="CA35" s="106"/>
      <c r="CB35" s="106"/>
      <c r="CC35" s="106"/>
      <c r="CD35" s="106"/>
      <c r="CE35" s="106"/>
      <c r="CF35" s="106"/>
      <c r="CG35" s="106"/>
      <c r="CH35" s="106"/>
      <c r="CI35" s="106"/>
      <c r="CJ35" s="106"/>
      <c r="CK35" s="106"/>
      <c r="CL35" s="106"/>
      <c r="CM35" s="106"/>
      <c r="CN35" s="106"/>
    </row>
    <row r="36" spans="1:92">
      <c r="A36" s="110" t="s">
        <v>216</v>
      </c>
      <c r="B36" s="110" t="s">
        <v>217</v>
      </c>
      <c r="C36" s="109">
        <v>2.9430280138495423E-2</v>
      </c>
      <c r="D36" s="107" cm="1">
        <f t="array" ref="D36">(Table684[[#This Row],[Ιαν-21]]*(1+Table6[[#This Row],[Ιαν-21]]))/SUMPRODUCT(C$2:C$49,(1+'Monthly Returns'!C$2:C$49))</f>
        <v>2.9874876525956762E-2</v>
      </c>
      <c r="E36" s="107" cm="1">
        <f t="array" ref="E36">(Table684[[#This Row],[Φεβ-21]]*(1+Table6[[#This Row],[Φεβ-21]]))/SUMPRODUCT(D$2:D$49,(1+'Monthly Returns'!D$2:D$49))</f>
        <v>3.2781033121448942E-2</v>
      </c>
      <c r="F36" s="107" cm="1">
        <f t="array" ref="F36">(Table684[[#This Row],[Μαρ-21]]*(1+Table6[[#This Row],[Μαρ-21]]))/SUMPRODUCT(E$2:E$49,(1+'Monthly Returns'!E$2:E$49))</f>
        <v>3.5137223020696683E-2</v>
      </c>
      <c r="G36" s="107" cm="1">
        <f t="array" ref="G36">(Table684[[#This Row],[Απρ-21]]*(1+Table6[[#This Row],[Απρ-21]]))/SUMPRODUCT(F$2:F$49,(1+'Monthly Returns'!F$2:F$49))</f>
        <v>3.4347340768920688E-2</v>
      </c>
      <c r="H36" s="109">
        <v>2.9430280138495423E-2</v>
      </c>
      <c r="I36" s="107" cm="1">
        <f t="array" ref="I36">(Table684[[#This Row],[Ιουν-21]]*(1+Table6[[#This Row],[Ιουν-21]]))/SUMPRODUCT(H$2:H$49,(1+'Monthly Returns'!H$2:H$49))</f>
        <v>2.878620665337258E-2</v>
      </c>
      <c r="J36" s="107" cm="1">
        <f t="array" ref="J36">(Table684[[#This Row],[Ιουλ-21]]*(1+Table6[[#This Row],[Ιουλ-21]]))/SUMPRODUCT(I$2:I$49,(1+'Monthly Returns'!I$2:I$49))</f>
        <v>2.8285591364363743E-2</v>
      </c>
      <c r="K36" s="107" cm="1">
        <f t="array" ref="K36">(Table684[[#This Row],[Αυγ-21]]*(1+Table6[[#This Row],[Αυγ-21]]))/SUMPRODUCT(J$2:J$49,(1+'Monthly Returns'!J$2:J$49))</f>
        <v>2.6132389811881929E-2</v>
      </c>
      <c r="L36" s="107" cm="1">
        <f t="array" ref="L36">(Table684[[#This Row],[Σεπ-21]]*(1+Table6[[#This Row],[Σεπ-21]]))/SUMPRODUCT(K$2:K$49,(1+'Monthly Returns'!K$2:K$49))</f>
        <v>2.879157072018259E-2</v>
      </c>
      <c r="M36" s="107" cm="1">
        <f t="array" ref="M36">(Table684[[#This Row],[Οκτ-21]]*(1+Table6[[#This Row],[Οκτ-21]]))/SUMPRODUCT(L$2:L$49,(1+'Monthly Returns'!L$2:L$49))</f>
        <v>3.0732996117738443E-2</v>
      </c>
      <c r="N36" s="107" cm="1">
        <f t="array" ref="N36">(Table684[[#This Row],[Νοε-21]]*(1+Table6[[#This Row],[Νοε-21]]))/SUMPRODUCT(M$2:M$49,(1+'Monthly Returns'!M$2:M$49))</f>
        <v>3.1071136931171146E-2</v>
      </c>
      <c r="O36" s="109">
        <v>2.9430280138495423E-2</v>
      </c>
      <c r="P36" s="107" cm="1">
        <f t="array" ref="P36">(O36*(1+Table6[[#This Row],[Ιαν-22]]))/SUMPRODUCT(O$2:O$49,(1+'Monthly Returns'!O$2:O$49))</f>
        <v>3.0799799058865072E-2</v>
      </c>
      <c r="Q36" s="107" cm="1">
        <f t="array" ref="Q36">(P36*(1+Table6[[#This Row],[Φεβ-22]]))/SUMPRODUCT(P$2:P$49,(1+'Monthly Returns'!P$2:P$49))</f>
        <v>3.1446345177022862E-2</v>
      </c>
      <c r="R36" s="107" cm="1">
        <f t="array" ref="R36">(Q36*(1+Table6[[#This Row],[Μαρ-22]]))/SUMPRODUCT(Q$2:Q$49,(1+'Monthly Returns'!Q$2:Q$49))</f>
        <v>2.847480881290736E-2</v>
      </c>
      <c r="S36" s="107" cm="1">
        <f t="array" ref="S36">(R36*(1+Table6[[#This Row],[Απρ-22]]))/SUMPRODUCT(R$2:R$49,(1+'Monthly Returns'!R$2:R$49))</f>
        <v>2.9354033136954848E-2</v>
      </c>
      <c r="T36" s="109">
        <v>2.9430280138495423E-2</v>
      </c>
      <c r="U36" s="107" cm="1">
        <f t="array" ref="U36">(T36*(1+Table6[[#This Row],[Ιουν-22]]))/SUMPRODUCT(T$2:T$49,(1+'Monthly Returns'!T$2:T$49))</f>
        <v>2.6858509596126994E-2</v>
      </c>
      <c r="V36" s="107" cm="1">
        <f t="array" ref="V36">(U36*(1+Table6[[#This Row],[Ιουλ-22]]))/SUMPRODUCT(U$2:U$49,(1+'Monthly Returns'!U$2:U$49))</f>
        <v>2.6135039671733206E-2</v>
      </c>
      <c r="W36" s="107" cm="1">
        <f t="array" ref="W36">(V36*(1+Table6[[#This Row],[Αυγ-22]]))/SUMPRODUCT(V$2:V$49,(1+'Monthly Returns'!V$2:V$49))</f>
        <v>2.700397802656325E-2</v>
      </c>
      <c r="X36" s="107" cm="1">
        <f t="array" ref="X36">(W36*(1+Table6[[#This Row],[Σεπ-22]]))/SUMPRODUCT(W$2:W$49,(1+'Monthly Returns'!W$2:W$49))</f>
        <v>2.6184329783013306E-2</v>
      </c>
      <c r="Y36" s="107" cm="1">
        <f t="array" ref="Y36">(X36*(1+Table6[[#This Row],[Οκτ-22]]))/SUMPRODUCT(X$2:X$49,(1+'Monthly Returns'!X$2:X$49))</f>
        <v>2.7573363601149804E-2</v>
      </c>
      <c r="Z36" s="107" cm="1">
        <f t="array" ref="Z36">(Y36*(1+Table6[[#This Row],[Νοε-22]]))/SUMPRODUCT(Y$2:Y$49,(1+'Monthly Returns'!Y$2:Y$49))</f>
        <v>2.8258853316162659E-2</v>
      </c>
      <c r="AA36" s="109">
        <v>2.9430280138495423E-2</v>
      </c>
      <c r="AB36" s="107" cm="1">
        <f t="array" ref="AB36">(AA36*(1+Table6[[#This Row],[Ιαν-23]]))/SUMPRODUCT(AA$2:AA$49,(1+'Monthly Returns'!AA$2:AA$49))</f>
        <v>3.0028266313708616E-2</v>
      </c>
      <c r="AC36" s="107" cm="1">
        <f t="array" ref="AC36">(AB36*(1+Table6[[#This Row],[Φεβ-23]]))/SUMPRODUCT(AB$2:AB$49,(1+'Monthly Returns'!AB$2:AB$49))</f>
        <v>3.1442907752103025E-2</v>
      </c>
      <c r="AD36" s="107" cm="1">
        <f t="array" ref="AD36">(AC36*(1+Table6[[#This Row],[Μαρ-23]]))/SUMPRODUCT(AC$2:AC$49,(1+'Monthly Returns'!AC$2:AC$49))</f>
        <v>3.0460965587766665E-2</v>
      </c>
      <c r="AE36" s="107" cm="1">
        <f t="array" ref="AE36">(AD36*(1+Table6[[#This Row],[Απρ-23]]))/SUMPRODUCT(AD$2:AD$49,(1+'Monthly Returns'!AD$2:AD$49))</f>
        <v>2.9641445966892881E-2</v>
      </c>
      <c r="AF36" s="109">
        <v>2.9430280138495423E-2</v>
      </c>
      <c r="AG36" s="107" cm="1">
        <f t="array" ref="AG36">(AF36*(1+Table6[[#This Row],[Ιουν-23]]))/SUMPRODUCT(AF$2:AF$49,(1+'Monthly Returns'!AF$2:AF$49))</f>
        <v>2.9966342612739935E-2</v>
      </c>
      <c r="AH36" s="107" cm="1">
        <f t="array" ref="AH36">(AG36*(1+Table6[[#This Row],[Ιουλ-23]]))/SUMPRODUCT(AG$2:AG$49,(1+'Monthly Returns'!AG$2:AG$49))</f>
        <v>2.9014481705324436E-2</v>
      </c>
      <c r="AI36" s="107" cm="1">
        <f t="array" ref="AI36">(AH36*(1+Table6[[#This Row],[Αυγ-23]]))/SUMPRODUCT(AH$2:AH$49,(1+'Monthly Returns'!AH$2:AH$49))</f>
        <v>2.7482209200803558E-2</v>
      </c>
      <c r="AJ36" s="107" cm="1">
        <f t="array" ref="AJ36">(AI36*(1+Table6[[#This Row],[Σεπ-23]]))/SUMPRODUCT(AI$2:AI$49,(1+'Monthly Returns'!AI$2:AI$49))</f>
        <v>2.7120690014902617E-2</v>
      </c>
      <c r="AK36" s="107" cm="1">
        <f t="array" ref="AK36">(AJ36*(1+Table6[[#This Row],[Οκτ-23]]))/SUMPRODUCT(AJ$2:AJ$49,(1+'Monthly Returns'!AJ$2:AJ$49))</f>
        <v>2.3855268662709948E-2</v>
      </c>
      <c r="AL36" s="107" cm="1">
        <f t="array" ref="AL36">(AK36*(1+Table6[[#This Row],[Νοε-23]]))/SUMPRODUCT(AK$2:AK$49,(1+'Monthly Returns'!AK$2:AK$49))</f>
        <v>2.3591947230335187E-2</v>
      </c>
      <c r="AM36" s="109">
        <v>2.9430280138495423E-2</v>
      </c>
      <c r="AN36" s="107" cm="1">
        <f t="array" ref="AN36">(AM36*(1+Table6[[#This Row],[Ιαν-24]]))/SUMPRODUCT(AM$2:AM$49,(1+'Monthly Returns'!AM$2:AM$49))</f>
        <v>2.9019959224414131E-2</v>
      </c>
      <c r="AO36" s="107" cm="1">
        <f t="array" ref="AO36">(AN36*(1+Table6[[#This Row],[Φεβ-24]]))/SUMPRODUCT(AN$2:AN$49,(1+'Monthly Returns'!AN$2:AN$49))</f>
        <v>3.3076279726297869E-2</v>
      </c>
      <c r="AP36" s="107" cm="1">
        <f t="array" ref="AP36">(AO36*(1+Table6[[#This Row],[Μαρ-24]]))/SUMPRODUCT(AO$2:AO$49,(1+'Monthly Returns'!AO$2:AO$49))</f>
        <v>3.1332228400426654E-2</v>
      </c>
      <c r="AQ36" s="107" cm="1">
        <f t="array" ref="AQ36">(AP36*(1+Table6[[#This Row],[Απρ-24]]))/SUMPRODUCT(AP$2:AP$49,(1+'Monthly Returns'!AP$2:AP$49))</f>
        <v>3.0163944315746736E-2</v>
      </c>
      <c r="AR36" s="109">
        <v>2.9430280138495423E-2</v>
      </c>
      <c r="AS36" s="107" cm="1">
        <f t="array" ref="AS36">(AR36*(1+Table6[[#This Row],[Ιουν-24]]))/SUMPRODUCT(AR$2:AR$49,(1+'Monthly Returns'!AR$2:AR$49))</f>
        <v>2.8742836554987862E-2</v>
      </c>
      <c r="AT36" s="107" cm="1">
        <f t="array" ref="AT36">(AS36*(1+Table6[[#This Row],[Ιουλ-24]]))/SUMPRODUCT(AS$2:AS$49,(1+'Monthly Returns'!AS$2:AS$49))</f>
        <v>2.6450104474309396E-2</v>
      </c>
      <c r="AU36" s="107" cm="1">
        <f t="array" ref="AU36">(AT36*(1+Table6[[#This Row],[Αυγ-24]]))/SUMPRODUCT(AT$2:AT$49,(1+'Monthly Returns'!AT$2:AT$49))</f>
        <v>2.6364641442878801E-2</v>
      </c>
      <c r="AV36" s="107" cm="1">
        <f t="array" ref="AV36">(AU36*(1+Table6[[#This Row],[Σεπ-24]]))/SUMPRODUCT(AU$2:AU$49,(1+'Monthly Returns'!AU$2:AU$49))</f>
        <v>2.460352874568553E-2</v>
      </c>
      <c r="AW36" s="107" cm="1">
        <f t="array" ref="AW36">(AV36*(1+Table6[[#This Row],[Οκτ-24]]))/SUMPRODUCT(AV$2:AV$49,(1+'Monthly Returns'!AV$2:AV$49))</f>
        <v>2.4089806999013294E-2</v>
      </c>
      <c r="AX36" s="107" cm="1">
        <f t="array" ref="AX36">(AW36*(1+Table6[[#This Row],[Νοε-24]]))/SUMPRODUCT(AW$2:AW$49,(1+'Monthly Returns'!AW$2:AW$49))</f>
        <v>2.2471450998300113E-2</v>
      </c>
      <c r="AY36" s="109">
        <v>2.9430280138495423E-2</v>
      </c>
      <c r="AZ36" s="107" cm="1">
        <f t="array" ref="AZ36">(AY36*(1+Table6[[#This Row],[Ιαν-25]]))/SUMPRODUCT(AY$2:AY$49,(1+'Monthly Returns'!AY$2:AY$49))</f>
        <v>2.9693266316711802E-2</v>
      </c>
      <c r="BA36" s="107" cm="1">
        <f t="array" ref="BA36">(AZ36*(1+Table6[[#This Row],[Φεβ-25]]))/SUMPRODUCT(AZ$2:AZ$49,(1+'Monthly Returns'!AZ$2:AZ$49))</f>
        <v>2.8792632927383509E-2</v>
      </c>
      <c r="BB36" s="107" cm="1">
        <f t="array" ref="BB36">(BA36*(1+Table6[[#This Row],[Μαρ-25]]))/SUMPRODUCT(BA$2:BA$49,(1+'Monthly Returns'!BA$2:BA$49))</f>
        <v>2.6933816769844968E-2</v>
      </c>
      <c r="BC36" s="107" cm="1">
        <f t="array" ref="BC36">(BB36*(1+Table6[[#This Row],[Απρ-25]]))/SUMPRODUCT(BB$2:BB$49,(1+'Monthly Returns'!BB$2:BB$49))</f>
        <v>2.5925162864373932E-2</v>
      </c>
      <c r="BD36" s="109">
        <v>2.9430280138495423E-2</v>
      </c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</row>
    <row r="37" spans="1:92">
      <c r="A37" s="110" t="s">
        <v>222</v>
      </c>
      <c r="B37" s="110" t="s">
        <v>223</v>
      </c>
      <c r="C37" s="109">
        <v>1.5213513797083193E-2</v>
      </c>
      <c r="D37" s="107" cm="1">
        <f t="array" ref="D37">(Table684[[#This Row],[Ιαν-21]]*(1+Table6[[#This Row],[Ιαν-21]]))/SUMPRODUCT(C$2:C$49,(1+'Monthly Returns'!C$2:C$49))</f>
        <v>1.4469478012202604E-2</v>
      </c>
      <c r="E37" s="107" cm="1">
        <f t="array" ref="E37">(Table684[[#This Row],[Φεβ-21]]*(1+Table6[[#This Row],[Φεβ-21]]))/SUMPRODUCT(D$2:D$49,(1+'Monthly Returns'!D$2:D$49))</f>
        <v>1.5505796130339764E-2</v>
      </c>
      <c r="F37" s="107" cm="1">
        <f t="array" ref="F37">(Table684[[#This Row],[Μαρ-21]]*(1+Table6[[#This Row],[Μαρ-21]]))/SUMPRODUCT(E$2:E$49,(1+'Monthly Returns'!E$2:E$49))</f>
        <v>1.4941570157525787E-2</v>
      </c>
      <c r="G37" s="107" cm="1">
        <f t="array" ref="G37">(Table684[[#This Row],[Απρ-21]]*(1+Table6[[#This Row],[Απρ-21]]))/SUMPRODUCT(F$2:F$49,(1+'Monthly Returns'!F$2:F$49))</f>
        <v>1.5669305306689051E-2</v>
      </c>
      <c r="H37" s="109">
        <v>1.5213513797083193E-2</v>
      </c>
      <c r="I37" s="107" cm="1">
        <f t="array" ref="I37">(Table684[[#This Row],[Ιουν-21]]*(1+Table6[[#This Row],[Ιουν-21]]))/SUMPRODUCT(H$2:H$49,(1+'Monthly Returns'!H$2:H$49))</f>
        <v>1.404321989279991E-2</v>
      </c>
      <c r="J37" s="107" cm="1">
        <f t="array" ref="J37">(Table684[[#This Row],[Ιουλ-21]]*(1+Table6[[#This Row],[Ιουλ-21]]))/SUMPRODUCT(I$2:I$49,(1+'Monthly Returns'!I$2:I$49))</f>
        <v>1.334013945715604E-2</v>
      </c>
      <c r="K37" s="107" cm="1">
        <f t="array" ref="K37">(Table684[[#This Row],[Αυγ-21]]*(1+Table6[[#This Row],[Αυγ-21]]))/SUMPRODUCT(J$2:J$49,(1+'Monthly Returns'!J$2:J$49))</f>
        <v>1.3143509536268902E-2</v>
      </c>
      <c r="L37" s="107" cm="1">
        <f t="array" ref="L37">(Table684[[#This Row],[Σεπ-21]]*(1+Table6[[#This Row],[Σεπ-21]]))/SUMPRODUCT(K$2:K$49,(1+'Monthly Returns'!K$2:K$49))</f>
        <v>1.4807878846945182E-2</v>
      </c>
      <c r="M37" s="107" cm="1">
        <f t="array" ref="M37">(Table684[[#This Row],[Οκτ-21]]*(1+Table6[[#This Row],[Οκτ-21]]))/SUMPRODUCT(L$2:L$49,(1+'Monthly Returns'!L$2:L$49))</f>
        <v>1.4068059958350275E-2</v>
      </c>
      <c r="N37" s="107" cm="1">
        <f t="array" ref="N37">(Table684[[#This Row],[Νοε-21]]*(1+Table6[[#This Row],[Νοε-21]]))/SUMPRODUCT(M$2:M$49,(1+'Monthly Returns'!M$2:M$49))</f>
        <v>1.3056029344366008E-2</v>
      </c>
      <c r="O37" s="109">
        <v>1.5213513797083193E-2</v>
      </c>
      <c r="P37" s="107" cm="1">
        <f t="array" ref="P37">(O37*(1+Table6[[#This Row],[Ιαν-22]]))/SUMPRODUCT(O$2:O$49,(1+'Monthly Returns'!O$2:O$49))</f>
        <v>1.4382410287251957E-2</v>
      </c>
      <c r="Q37" s="107" cm="1">
        <f t="array" ref="Q37">(P37*(1+Table6[[#This Row],[Φεβ-22]]))/SUMPRODUCT(P$2:P$49,(1+'Monthly Returns'!P$2:P$49))</f>
        <v>1.3163096328266795E-2</v>
      </c>
      <c r="R37" s="107" cm="1">
        <f t="array" ref="R37">(Q37*(1+Table6[[#This Row],[Μαρ-22]]))/SUMPRODUCT(Q$2:Q$49,(1+'Monthly Returns'!Q$2:Q$49))</f>
        <v>1.0866439831192457E-2</v>
      </c>
      <c r="S37" s="107" cm="1">
        <f t="array" ref="S37">(R37*(1+Table6[[#This Row],[Απρ-22]]))/SUMPRODUCT(R$2:R$49,(1+'Monthly Returns'!R$2:R$49))</f>
        <v>1.120519808278924E-2</v>
      </c>
      <c r="T37" s="109">
        <v>1.5213513797083193E-2</v>
      </c>
      <c r="U37" s="107" cm="1">
        <f t="array" ref="U37">(T37*(1+Table6[[#This Row],[Ιουν-22]]))/SUMPRODUCT(T$2:T$49,(1+'Monthly Returns'!T$2:T$49))</f>
        <v>1.5931004828844183E-2</v>
      </c>
      <c r="V37" s="107" cm="1">
        <f t="array" ref="V37">(U37*(1+Table6[[#This Row],[Ιουλ-22]]))/SUMPRODUCT(U$2:U$49,(1+'Monthly Returns'!U$2:U$49))</f>
        <v>1.6468404478772007E-2</v>
      </c>
      <c r="W37" s="107" cm="1">
        <f t="array" ref="W37">(V37*(1+Table6[[#This Row],[Αυγ-22]]))/SUMPRODUCT(V$2:V$49,(1+'Monthly Returns'!V$2:V$49))</f>
        <v>1.5787257915878598E-2</v>
      </c>
      <c r="X37" s="107" cm="1">
        <f t="array" ref="X37">(W37*(1+Table6[[#This Row],[Σεπ-22]]))/SUMPRODUCT(W$2:W$49,(1+'Monthly Returns'!W$2:W$49))</f>
        <v>1.6449095165268053E-2</v>
      </c>
      <c r="Y37" s="107" cm="1">
        <f t="array" ref="Y37">(X37*(1+Table6[[#This Row],[Οκτ-22]]))/SUMPRODUCT(X$2:X$49,(1+'Monthly Returns'!X$2:X$49))</f>
        <v>1.6839385026854198E-2</v>
      </c>
      <c r="Z37" s="107" cm="1">
        <f t="array" ref="Z37">(Y37*(1+Table6[[#This Row],[Νοε-22]]))/SUMPRODUCT(Y$2:Y$49,(1+'Monthly Returns'!Y$2:Y$49))</f>
        <v>1.6936084646362808E-2</v>
      </c>
      <c r="AA37" s="109">
        <v>1.5213513797083193E-2</v>
      </c>
      <c r="AB37" s="107" cm="1">
        <f t="array" ref="AB37">(AA37*(1+Table6[[#This Row],[Ιαν-23]]))/SUMPRODUCT(AA$2:AA$49,(1+'Monthly Returns'!AA$2:AA$49))</f>
        <v>1.6066699621009036E-2</v>
      </c>
      <c r="AC37" s="107" cm="1">
        <f t="array" ref="AC37">(AB37*(1+Table6[[#This Row],[Φεβ-23]]))/SUMPRODUCT(AB$2:AB$49,(1+'Monthly Returns'!AB$2:AB$49))</f>
        <v>1.6045335691621445E-2</v>
      </c>
      <c r="AD37" s="107" cm="1">
        <f t="array" ref="AD37">(AC37*(1+Table6[[#This Row],[Μαρ-23]]))/SUMPRODUCT(AC$2:AC$49,(1+'Monthly Returns'!AC$2:AC$49))</f>
        <v>1.6972761445126525E-2</v>
      </c>
      <c r="AE37" s="107" cm="1">
        <f t="array" ref="AE37">(AD37*(1+Table6[[#This Row],[Απρ-23]]))/SUMPRODUCT(AD$2:AD$49,(1+'Monthly Returns'!AD$2:AD$49))</f>
        <v>1.697857906541073E-2</v>
      </c>
      <c r="AF37" s="109">
        <v>1.5213513797083193E-2</v>
      </c>
      <c r="AG37" s="107" cm="1">
        <f t="array" ref="AG37">(AF37*(1+Table6[[#This Row],[Ιουν-23]]))/SUMPRODUCT(AF$2:AF$49,(1+'Monthly Returns'!AF$2:AF$49))</f>
        <v>1.6713178553277159E-2</v>
      </c>
      <c r="AH37" s="107" cm="1">
        <f t="array" ref="AH37">(AG37*(1+Table6[[#This Row],[Ιουλ-23]]))/SUMPRODUCT(AG$2:AG$49,(1+'Monthly Returns'!AG$2:AG$49))</f>
        <v>1.6074228031018396E-2</v>
      </c>
      <c r="AI37" s="107" cm="1">
        <f t="array" ref="AI37">(AH37*(1+Table6[[#This Row],[Αυγ-23]]))/SUMPRODUCT(AH$2:AH$49,(1+'Monthly Returns'!AH$2:AH$49))</f>
        <v>1.6644316156445391E-2</v>
      </c>
      <c r="AJ37" s="107" cm="1">
        <f t="array" ref="AJ37">(AI37*(1+Table6[[#This Row],[Σεπ-23]]))/SUMPRODUCT(AI$2:AI$49,(1+'Monthly Returns'!AI$2:AI$49))</f>
        <v>1.6859523875154048E-2</v>
      </c>
      <c r="AK37" s="107" cm="1">
        <f t="array" ref="AK37">(AJ37*(1+Table6[[#This Row],[Οκτ-23]]))/SUMPRODUCT(AJ$2:AJ$49,(1+'Monthly Returns'!AJ$2:AJ$49))</f>
        <v>1.6480431170155501E-2</v>
      </c>
      <c r="AL37" s="107" cm="1">
        <f t="array" ref="AL37">(AK37*(1+Table6[[#This Row],[Νοε-23]]))/SUMPRODUCT(AK$2:AK$49,(1+'Monthly Returns'!AK$2:AK$49))</f>
        <v>1.7607487024389561E-2</v>
      </c>
      <c r="AM37" s="109">
        <v>1.5213513797083193E-2</v>
      </c>
      <c r="AN37" s="107" cm="1">
        <f t="array" ref="AN37">(AM37*(1+Table6[[#This Row],[Ιαν-24]]))/SUMPRODUCT(AM$2:AM$49,(1+'Monthly Returns'!AM$2:AM$49))</f>
        <v>1.5062726741563488E-2</v>
      </c>
      <c r="AO37" s="107" cm="1">
        <f t="array" ref="AO37">(AN37*(1+Table6[[#This Row],[Φεβ-24]]))/SUMPRODUCT(AN$2:AN$49,(1+'Monthly Returns'!AN$2:AN$49))</f>
        <v>1.503523298196272E-2</v>
      </c>
      <c r="AP37" s="107" cm="1">
        <f t="array" ref="AP37">(AO37*(1+Table6[[#This Row],[Μαρ-24]]))/SUMPRODUCT(AO$2:AO$49,(1+'Monthly Returns'!AO$2:AO$49))</f>
        <v>1.6216019331953803E-2</v>
      </c>
      <c r="AQ37" s="107" cm="1">
        <f t="array" ref="AQ37">(AP37*(1+Table6[[#This Row],[Απρ-24]]))/SUMPRODUCT(AP$2:AP$49,(1+'Monthly Returns'!AP$2:AP$49))</f>
        <v>1.5179078047281578E-2</v>
      </c>
      <c r="AR37" s="109">
        <v>1.5213513797083193E-2</v>
      </c>
      <c r="AS37" s="107" cm="1">
        <f t="array" ref="AS37">(AR37*(1+Table6[[#This Row],[Ιουν-24]]))/SUMPRODUCT(AR$2:AR$49,(1+'Monthly Returns'!AR$2:AR$49))</f>
        <v>1.6381984772104202E-2</v>
      </c>
      <c r="AT37" s="107" cm="1">
        <f t="array" ref="AT37">(AS37*(1+Table6[[#This Row],[Ιουλ-24]]))/SUMPRODUCT(AS$2:AS$49,(1+'Monthly Returns'!AS$2:AS$49))</f>
        <v>1.541945442499334E-2</v>
      </c>
      <c r="AU37" s="107" cm="1">
        <f t="array" ref="AU37">(AT37*(1+Table6[[#This Row],[Αυγ-24]]))/SUMPRODUCT(AT$2:AT$49,(1+'Monthly Returns'!AT$2:AT$49))</f>
        <v>1.6390471613522684E-2</v>
      </c>
      <c r="AV37" s="107" cm="1">
        <f t="array" ref="AV37">(AU37*(1+Table6[[#This Row],[Σεπ-24]]))/SUMPRODUCT(AU$2:AU$49,(1+'Monthly Returns'!AU$2:AU$49))</f>
        <v>1.7783961127465751E-2</v>
      </c>
      <c r="AW37" s="107" cm="1">
        <f t="array" ref="AW37">(AV37*(1+Table6[[#This Row],[Οκτ-24]]))/SUMPRODUCT(AV$2:AV$49,(1+'Monthly Returns'!AV$2:AV$49))</f>
        <v>1.8162031780139185E-2</v>
      </c>
      <c r="AX37" s="107" cm="1">
        <f t="array" ref="AX37">(AW37*(1+Table6[[#This Row],[Νοε-24]]))/SUMPRODUCT(AW$2:AW$49,(1+'Monthly Returns'!AW$2:AW$49))</f>
        <v>1.7796312928267437E-2</v>
      </c>
      <c r="AY37" s="109">
        <v>1.5213513797083193E-2</v>
      </c>
      <c r="AZ37" s="107" cm="1">
        <f t="array" ref="AZ37">(AY37*(1+Table6[[#This Row],[Ιαν-25]]))/SUMPRODUCT(AY$2:AY$49,(1+'Monthly Returns'!AY$2:AY$49))</f>
        <v>1.5011628000104565E-2</v>
      </c>
      <c r="BA37" s="107" cm="1">
        <f t="array" ref="BA37">(AZ37*(1+Table6[[#This Row],[Φεβ-25]]))/SUMPRODUCT(AZ$2:AZ$49,(1+'Monthly Returns'!AZ$2:AZ$49))</f>
        <v>1.409887597478165E-2</v>
      </c>
      <c r="BB37" s="107" cm="1">
        <f t="array" ref="BB37">(BA37*(1+Table6[[#This Row],[Μαρ-25]]))/SUMPRODUCT(BA$2:BA$49,(1+'Monthly Returns'!BA$2:BA$49))</f>
        <v>1.2717028199549381E-2</v>
      </c>
      <c r="BC37" s="107" cm="1">
        <f t="array" ref="BC37">(BB37*(1+Table6[[#This Row],[Απρ-25]]))/SUMPRODUCT(BB$2:BB$49,(1+'Monthly Returns'!BB$2:BB$49))</f>
        <v>1.3232768104490636E-2</v>
      </c>
      <c r="BD37" s="109">
        <v>1.5213513797083193E-2</v>
      </c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</row>
    <row r="38" spans="1:92">
      <c r="A38" s="110" t="s">
        <v>225</v>
      </c>
      <c r="B38" s="110" t="s">
        <v>226</v>
      </c>
      <c r="C38" s="109">
        <v>8.6035043542125669E-3</v>
      </c>
      <c r="D38" s="107" cm="1">
        <f t="array" ref="D38">(Table684[[#This Row],[Ιαν-21]]*(1+Table6[[#This Row],[Ιαν-21]]))/SUMPRODUCT(C$2:C$49,(1+'Monthly Returns'!C$2:C$49))</f>
        <v>7.6746351168618422E-3</v>
      </c>
      <c r="E38" s="107" cm="1">
        <f t="array" ref="E38">(Table684[[#This Row],[Φεβ-21]]*(1+Table6[[#This Row],[Φεβ-21]]))/SUMPRODUCT(D$2:D$49,(1+'Monthly Returns'!D$2:D$49))</f>
        <v>8.0709055602125532E-3</v>
      </c>
      <c r="F38" s="107" cm="1">
        <f t="array" ref="F38">(Table684[[#This Row],[Μαρ-21]]*(1+Table6[[#This Row],[Μαρ-21]]))/SUMPRODUCT(E$2:E$49,(1+'Monthly Returns'!E$2:E$49))</f>
        <v>7.937466869592201E-3</v>
      </c>
      <c r="G38" s="107" cm="1">
        <f t="array" ref="G38">(Table684[[#This Row],[Απρ-21]]*(1+Table6[[#This Row],[Απρ-21]]))/SUMPRODUCT(F$2:F$49,(1+'Monthly Returns'!F$2:F$49))</f>
        <v>7.3290163579896421E-3</v>
      </c>
      <c r="H38" s="109">
        <v>8.6035043542125669E-3</v>
      </c>
      <c r="I38" s="107" cm="1">
        <f t="array" ref="I38">(Table684[[#This Row],[Ιουν-21]]*(1+Table6[[#This Row],[Ιουν-21]]))/SUMPRODUCT(H$2:H$49,(1+'Monthly Returns'!H$2:H$49))</f>
        <v>8.1390602680362443E-3</v>
      </c>
      <c r="J38" s="107" cm="1">
        <f t="array" ref="J38">(Table684[[#This Row],[Ιουλ-21]]*(1+Table6[[#This Row],[Ιουλ-21]]))/SUMPRODUCT(I$2:I$49,(1+'Monthly Returns'!I$2:I$49))</f>
        <v>7.4817022294054389E-3</v>
      </c>
      <c r="K38" s="107" cm="1">
        <f t="array" ref="K38">(Table684[[#This Row],[Αυγ-21]]*(1+Table6[[#This Row],[Αυγ-21]]))/SUMPRODUCT(J$2:J$49,(1+'Monthly Returns'!J$2:J$49))</f>
        <v>6.825419622443262E-3</v>
      </c>
      <c r="L38" s="107" cm="1">
        <f t="array" ref="L38">(Table684[[#This Row],[Σεπ-21]]*(1+Table6[[#This Row],[Σεπ-21]]))/SUMPRODUCT(K$2:K$49,(1+'Monthly Returns'!K$2:K$49))</f>
        <v>7.6834383947589407E-3</v>
      </c>
      <c r="M38" s="107" cm="1">
        <f t="array" ref="M38">(Table684[[#This Row],[Οκτ-21]]*(1+Table6[[#This Row],[Οκτ-21]]))/SUMPRODUCT(L$2:L$49,(1+'Monthly Returns'!L$2:L$49))</f>
        <v>7.4752542820885762E-3</v>
      </c>
      <c r="N38" s="107" cm="1">
        <f t="array" ref="N38">(Table684[[#This Row],[Νοε-21]]*(1+Table6[[#This Row],[Νοε-21]]))/SUMPRODUCT(M$2:M$49,(1+'Monthly Returns'!M$2:M$49))</f>
        <v>7.5963970585979663E-3</v>
      </c>
      <c r="O38" s="109">
        <v>8.6035043542125669E-3</v>
      </c>
      <c r="P38" s="107" cm="1">
        <f t="array" ref="P38">(O38*(1+Table6[[#This Row],[Ιαν-22]]))/SUMPRODUCT(O$2:O$49,(1+'Monthly Returns'!O$2:O$49))</f>
        <v>8.808617150305802E-3</v>
      </c>
      <c r="Q38" s="107" cm="1">
        <f t="array" ref="Q38">(P38*(1+Table6[[#This Row],[Φεβ-22]]))/SUMPRODUCT(P$2:P$49,(1+'Monthly Returns'!P$2:P$49))</f>
        <v>9.0437647711900382E-3</v>
      </c>
      <c r="R38" s="107" cm="1">
        <f t="array" ref="R38">(Q38*(1+Table6[[#This Row],[Μαρ-22]]))/SUMPRODUCT(Q$2:Q$49,(1+'Monthly Returns'!Q$2:Q$49))</f>
        <v>8.7949175873153502E-3</v>
      </c>
      <c r="S38" s="107" cm="1">
        <f t="array" ref="S38">(R38*(1+Table6[[#This Row],[Απρ-22]]))/SUMPRODUCT(R$2:R$49,(1+'Monthly Returns'!R$2:R$49))</f>
        <v>8.8999231720740604E-3</v>
      </c>
      <c r="T38" s="109">
        <v>8.6035043542125669E-3</v>
      </c>
      <c r="U38" s="107" cm="1">
        <f t="array" ref="U38">(T38*(1+Table6[[#This Row],[Ιουν-22]]))/SUMPRODUCT(T$2:T$49,(1+'Monthly Returns'!T$2:T$49))</f>
        <v>8.5869635371138373E-3</v>
      </c>
      <c r="V38" s="107" cm="1">
        <f t="array" ref="V38">(U38*(1+Table6[[#This Row],[Ιουλ-22]]))/SUMPRODUCT(U$2:U$49,(1+'Monthly Returns'!U$2:U$49))</f>
        <v>8.6250430929477057E-3</v>
      </c>
      <c r="W38" s="107" cm="1">
        <f t="array" ref="W38">(V38*(1+Table6[[#This Row],[Αυγ-22]]))/SUMPRODUCT(V$2:V$49,(1+'Monthly Returns'!V$2:V$49))</f>
        <v>8.4382694600308328E-3</v>
      </c>
      <c r="X38" s="107" cm="1">
        <f t="array" ref="X38">(W38*(1+Table6[[#This Row],[Σεπ-22]]))/SUMPRODUCT(W$2:W$49,(1+'Monthly Returns'!W$2:W$49))</f>
        <v>8.1064656089571523E-3</v>
      </c>
      <c r="Y38" s="107" cm="1">
        <f t="array" ref="Y38">(X38*(1+Table6[[#This Row],[Οκτ-22]]))/SUMPRODUCT(X$2:X$49,(1+'Monthly Returns'!X$2:X$49))</f>
        <v>8.3063545366905498E-3</v>
      </c>
      <c r="Z38" s="107" cm="1">
        <f t="array" ref="Z38">(Y38*(1+Table6[[#This Row],[Νοε-22]]))/SUMPRODUCT(Y$2:Y$49,(1+'Monthly Returns'!Y$2:Y$49))</f>
        <v>7.4922068868388302E-3</v>
      </c>
      <c r="AA38" s="109">
        <v>8.6035043542125669E-3</v>
      </c>
      <c r="AB38" s="107" cm="1">
        <f t="array" ref="AB38">(AA38*(1+Table6[[#This Row],[Ιαν-23]]))/SUMPRODUCT(AA$2:AA$49,(1+'Monthly Returns'!AA$2:AA$49))</f>
        <v>9.3763183358015149E-3</v>
      </c>
      <c r="AC38" s="107" cm="1">
        <f t="array" ref="AC38">(AB38*(1+Table6[[#This Row],[Φεβ-23]]))/SUMPRODUCT(AB$2:AB$49,(1+'Monthly Returns'!AB$2:AB$49))</f>
        <v>9.4845377961185577E-3</v>
      </c>
      <c r="AD38" s="107" cm="1">
        <f t="array" ref="AD38">(AC38*(1+Table6[[#This Row],[Μαρ-23]]))/SUMPRODUCT(AC$2:AC$49,(1+'Monthly Returns'!AC$2:AC$49))</f>
        <v>9.8041721321134902E-3</v>
      </c>
      <c r="AE38" s="107" cm="1">
        <f t="array" ref="AE38">(AD38*(1+Table6[[#This Row],[Απρ-23]]))/SUMPRODUCT(AD$2:AD$49,(1+'Monthly Returns'!AD$2:AD$49))</f>
        <v>9.861912919214658E-3</v>
      </c>
      <c r="AF38" s="109">
        <v>8.6035043542125669E-3</v>
      </c>
      <c r="AG38" s="107" cm="1">
        <f t="array" ref="AG38">(AF38*(1+Table6[[#This Row],[Ιουν-23]]))/SUMPRODUCT(AF$2:AF$49,(1+'Monthly Returns'!AF$2:AF$49))</f>
        <v>8.6893252250344714E-3</v>
      </c>
      <c r="AH38" s="107" cm="1">
        <f t="array" ref="AH38">(AG38*(1+Table6[[#This Row],[Ιουλ-23]]))/SUMPRODUCT(AG$2:AG$49,(1+'Monthly Returns'!AG$2:AG$49))</f>
        <v>8.0557721387723748E-3</v>
      </c>
      <c r="AI38" s="107" cm="1">
        <f t="array" ref="AI38">(AH38*(1+Table6[[#This Row],[Αυγ-23]]))/SUMPRODUCT(AH$2:AH$49,(1+'Monthly Returns'!AH$2:AH$49))</f>
        <v>7.9703076184552708E-3</v>
      </c>
      <c r="AJ38" s="107" cm="1">
        <f t="array" ref="AJ38">(AI38*(1+Table6[[#This Row],[Σεπ-23]]))/SUMPRODUCT(AI$2:AI$49,(1+'Monthly Returns'!AI$2:AI$49))</f>
        <v>7.320225834868817E-3</v>
      </c>
      <c r="AK38" s="107" cm="1">
        <f t="array" ref="AK38">(AJ38*(1+Table6[[#This Row],[Οκτ-23]]))/SUMPRODUCT(AJ$2:AJ$49,(1+'Monthly Returns'!AJ$2:AJ$49))</f>
        <v>7.1571512633641157E-3</v>
      </c>
      <c r="AL38" s="107" cm="1">
        <f t="array" ref="AL38">(AK38*(1+Table6[[#This Row],[Νοε-23]]))/SUMPRODUCT(AK$2:AK$49,(1+'Monthly Returns'!AK$2:AK$49))</f>
        <v>7.6795082445213899E-3</v>
      </c>
      <c r="AM38" s="109">
        <v>8.6035043542125669E-3</v>
      </c>
      <c r="AN38" s="107" cm="1">
        <f t="array" ref="AN38">(AM38*(1+Table6[[#This Row],[Ιαν-24]]))/SUMPRODUCT(AM$2:AM$49,(1+'Monthly Returns'!AM$2:AM$49))</f>
        <v>8.5402229389160804E-3</v>
      </c>
      <c r="AO38" s="107" cm="1">
        <f t="array" ref="AO38">(AN38*(1+Table6[[#This Row],[Φεβ-24]]))/SUMPRODUCT(AN$2:AN$49,(1+'Monthly Returns'!AN$2:AN$49))</f>
        <v>6.8992830460176541E-3</v>
      </c>
      <c r="AP38" s="107" cm="1">
        <f t="array" ref="AP38">(AO38*(1+Table6[[#This Row],[Μαρ-24]]))/SUMPRODUCT(AO$2:AO$49,(1+'Monthly Returns'!AO$2:AO$49))</f>
        <v>7.1468711699878579E-3</v>
      </c>
      <c r="AQ38" s="107" cm="1">
        <f t="array" ref="AQ38">(AP38*(1+Table6[[#This Row],[Απρ-24]]))/SUMPRODUCT(AP$2:AP$49,(1+'Monthly Returns'!AP$2:AP$49))</f>
        <v>7.2012700729119482E-3</v>
      </c>
      <c r="AR38" s="109">
        <v>8.6035043542125669E-3</v>
      </c>
      <c r="AS38" s="107" cm="1">
        <f t="array" ref="AS38">(AR38*(1+Table6[[#This Row],[Ιουν-24]]))/SUMPRODUCT(AR$2:AR$49,(1+'Monthly Returns'!AR$2:AR$49))</f>
        <v>8.2780648216132357E-3</v>
      </c>
      <c r="AT38" s="107" cm="1">
        <f t="array" ref="AT38">(AS38*(1+Table6[[#This Row],[Ιουλ-24]]))/SUMPRODUCT(AS$2:AS$49,(1+'Monthly Returns'!AS$2:AS$49))</f>
        <v>7.9728668896790825E-3</v>
      </c>
      <c r="AU38" s="107" cm="1">
        <f t="array" ref="AU38">(AT38*(1+Table6[[#This Row],[Αυγ-24]]))/SUMPRODUCT(AT$2:AT$49,(1+'Monthly Returns'!AT$2:AT$49))</f>
        <v>7.7879773184012912E-3</v>
      </c>
      <c r="AV38" s="107" cm="1">
        <f t="array" ref="AV38">(AU38*(1+Table6[[#This Row],[Σεπ-24]]))/SUMPRODUCT(AU$2:AU$49,(1+'Monthly Returns'!AU$2:AU$49))</f>
        <v>8.2974366682438665E-3</v>
      </c>
      <c r="AW38" s="107" cm="1">
        <f t="array" ref="AW38">(AV38*(1+Table6[[#This Row],[Οκτ-24]]))/SUMPRODUCT(AV$2:AV$49,(1+'Monthly Returns'!AV$2:AV$49))</f>
        <v>8.7063643475954154E-3</v>
      </c>
      <c r="AX38" s="107" cm="1">
        <f t="array" ref="AX38">(AW38*(1+Table6[[#This Row],[Νοε-24]]))/SUMPRODUCT(AW$2:AW$49,(1+'Monthly Returns'!AW$2:AW$49))</f>
        <v>8.5276287875690592E-3</v>
      </c>
      <c r="AY38" s="109">
        <v>8.6035043542125669E-3</v>
      </c>
      <c r="AZ38" s="107" cm="1">
        <f t="array" ref="AZ38">(AY38*(1+Table6[[#This Row],[Ιαν-25]]))/SUMPRODUCT(AY$2:AY$49,(1+'Monthly Returns'!AY$2:AY$49))</f>
        <v>8.3846166761698416E-3</v>
      </c>
      <c r="BA38" s="107" cm="1">
        <f t="array" ref="BA38">(AZ38*(1+Table6[[#This Row],[Φεβ-25]]))/SUMPRODUCT(AZ$2:AZ$49,(1+'Monthly Returns'!AZ$2:AZ$49))</f>
        <v>8.177407633641982E-3</v>
      </c>
      <c r="BB38" s="107" cm="1">
        <f t="array" ref="BB38">(BA38*(1+Table6[[#This Row],[Μαρ-25]]))/SUMPRODUCT(BA$2:BA$49,(1+'Monthly Returns'!BA$2:BA$49))</f>
        <v>8.1104278303701545E-3</v>
      </c>
      <c r="BC38" s="107" cm="1">
        <f t="array" ref="BC38">(BB38*(1+Table6[[#This Row],[Απρ-25]]))/SUMPRODUCT(BB$2:BB$49,(1+'Monthly Returns'!BB$2:BB$49))</f>
        <v>7.8984558642283594E-3</v>
      </c>
      <c r="BD38" s="109">
        <v>8.6035043542125669E-3</v>
      </c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  <c r="CI38" s="106"/>
      <c r="CJ38" s="106"/>
      <c r="CK38" s="106"/>
      <c r="CL38" s="106"/>
      <c r="CM38" s="106"/>
      <c r="CN38" s="106"/>
    </row>
    <row r="39" spans="1:92">
      <c r="A39" s="110" t="s">
        <v>40</v>
      </c>
      <c r="B39" s="110" t="s">
        <v>41</v>
      </c>
      <c r="C39" s="109">
        <v>3.2369701500367207E-2</v>
      </c>
      <c r="D39" s="107" cm="1">
        <f t="array" ref="D39">(Table684[[#This Row],[Ιαν-21]]*(1+Table6[[#This Row],[Ιαν-21]]))/SUMPRODUCT(C$2:C$49,(1+'Monthly Returns'!C$2:C$49))</f>
        <v>3.6184509207333043E-2</v>
      </c>
      <c r="E39" s="107" cm="1">
        <f t="array" ref="E39">(Table684[[#This Row],[Φεβ-21]]*(1+Table6[[#This Row],[Φεβ-21]]))/SUMPRODUCT(D$2:D$49,(1+'Monthly Returns'!D$2:D$49))</f>
        <v>3.681849899489515E-2</v>
      </c>
      <c r="F39" s="107" cm="1">
        <f t="array" ref="F39">(Table684[[#This Row],[Μαρ-21]]*(1+Table6[[#This Row],[Μαρ-21]]))/SUMPRODUCT(E$2:E$49,(1+'Monthly Returns'!E$2:E$49))</f>
        <v>3.8309734294827869E-2</v>
      </c>
      <c r="G39" s="107" cm="1">
        <f t="array" ref="G39">(Table684[[#This Row],[Απρ-21]]*(1+Table6[[#This Row],[Απρ-21]]))/SUMPRODUCT(F$2:F$49,(1+'Monthly Returns'!F$2:F$49))</f>
        <v>3.942981856634848E-2</v>
      </c>
      <c r="H39" s="109">
        <v>3.2369701500367207E-2</v>
      </c>
      <c r="I39" s="107" cm="1">
        <f t="array" ref="I39">(Table684[[#This Row],[Ιουν-21]]*(1+Table6[[#This Row],[Ιουν-21]]))/SUMPRODUCT(H$2:H$49,(1+'Monthly Returns'!H$2:H$49))</f>
        <v>3.3745705671056815E-2</v>
      </c>
      <c r="J39" s="107" cm="1">
        <f t="array" ref="J39">(Table684[[#This Row],[Ιουλ-21]]*(1+Table6[[#This Row],[Ιουλ-21]]))/SUMPRODUCT(I$2:I$49,(1+'Monthly Returns'!I$2:I$49))</f>
        <v>3.6739888902234737E-2</v>
      </c>
      <c r="K39" s="107" cm="1">
        <f t="array" ref="K39">(Table684[[#This Row],[Αυγ-21]]*(1+Table6[[#This Row],[Αυγ-21]]))/SUMPRODUCT(J$2:J$49,(1+'Monthly Returns'!J$2:J$49))</f>
        <v>3.9466657863081789E-2</v>
      </c>
      <c r="L39" s="107" cm="1">
        <f t="array" ref="L39">(Table684[[#This Row],[Σεπ-21]]*(1+Table6[[#This Row],[Σεπ-21]]))/SUMPRODUCT(K$2:K$49,(1+'Monthly Returns'!K$2:K$49))</f>
        <v>3.7035438994600642E-2</v>
      </c>
      <c r="M39" s="107" cm="1">
        <f t="array" ref="M39">(Table684[[#This Row],[Οκτ-21]]*(1+Table6[[#This Row],[Οκτ-21]]))/SUMPRODUCT(L$2:L$49,(1+'Monthly Returns'!L$2:L$49))</f>
        <v>3.8427237349073648E-2</v>
      </c>
      <c r="N39" s="107" cm="1">
        <f t="array" ref="N39">(Table684[[#This Row],[Νοε-21]]*(1+Table6[[#This Row],[Νοε-21]]))/SUMPRODUCT(M$2:M$49,(1+'Monthly Returns'!M$2:M$49))</f>
        <v>4.0041728618149648E-2</v>
      </c>
      <c r="O39" s="109">
        <v>3.2369701500367207E-2</v>
      </c>
      <c r="P39" s="107" cm="1">
        <f t="array" ref="P39">(O39*(1+Table6[[#This Row],[Ιαν-22]]))/SUMPRODUCT(O$2:O$49,(1+'Monthly Returns'!O$2:O$49))</f>
        <v>2.7450794686222829E-2</v>
      </c>
      <c r="Q39" s="107" cm="1">
        <f t="array" ref="Q39">(P39*(1+Table6[[#This Row],[Φεβ-22]]))/SUMPRODUCT(P$2:P$49,(1+'Monthly Returns'!P$2:P$49))</f>
        <v>2.8690282821912997E-2</v>
      </c>
      <c r="R39" s="107" cm="1">
        <f t="array" ref="R39">(Q39*(1+Table6[[#This Row],[Μαρ-22]]))/SUMPRODUCT(Q$2:Q$49,(1+'Monthly Returns'!Q$2:Q$49))</f>
        <v>2.8782548306546248E-2</v>
      </c>
      <c r="S39" s="107" cm="1">
        <f t="array" ref="S39">(R39*(1+Table6[[#This Row],[Απρ-22]]))/SUMPRODUCT(R$2:R$49,(1+'Monthly Returns'!R$2:R$49))</f>
        <v>2.5638812414561649E-2</v>
      </c>
      <c r="T39" s="109">
        <v>3.2369701500367207E-2</v>
      </c>
      <c r="U39" s="107" cm="1">
        <f t="array" ref="U39">(T39*(1+Table6[[#This Row],[Ιουν-22]]))/SUMPRODUCT(T$2:T$49,(1+'Monthly Returns'!T$2:T$49))</f>
        <v>2.989609619883191E-2</v>
      </c>
      <c r="V39" s="107" cm="1">
        <f t="array" ref="V39">(U39*(1+Table6[[#This Row],[Ιουλ-22]]))/SUMPRODUCT(U$2:U$49,(1+'Monthly Returns'!U$2:U$49))</f>
        <v>3.4315264383993613E-2</v>
      </c>
      <c r="W39" s="107" cm="1">
        <f t="array" ref="W39">(V39*(1+Table6[[#This Row],[Αυγ-22]]))/SUMPRODUCT(V$2:V$49,(1+'Monthly Returns'!V$2:V$49))</f>
        <v>3.163031085397057E-2</v>
      </c>
      <c r="X39" s="107" cm="1">
        <f t="array" ref="X39">(W39*(1+Table6[[#This Row],[Σεπ-22]]))/SUMPRODUCT(W$2:W$49,(1+'Monthly Returns'!W$2:W$49))</f>
        <v>2.9859264248421627E-2</v>
      </c>
      <c r="Y39" s="107" cm="1">
        <f t="array" ref="Y39">(X39*(1+Table6[[#This Row],[Οκτ-22]]))/SUMPRODUCT(X$2:X$49,(1+'Monthly Returns'!X$2:X$49))</f>
        <v>3.0640003127904165E-2</v>
      </c>
      <c r="Z39" s="107" cm="1">
        <f t="array" ref="Z39">(Y39*(1+Table6[[#This Row],[Νοε-22]]))/SUMPRODUCT(Y$2:Y$49,(1+'Monthly Returns'!Y$2:Y$49))</f>
        <v>3.3477549781333348E-2</v>
      </c>
      <c r="AA39" s="109">
        <v>3.2369701500367207E-2</v>
      </c>
      <c r="AB39" s="107" cm="1">
        <f t="array" ref="AB39">(AA39*(1+Table6[[#This Row],[Ιαν-23]]))/SUMPRODUCT(AA$2:AA$49,(1+'Monthly Returns'!AA$2:AA$49))</f>
        <v>3.5502910669396745E-2</v>
      </c>
      <c r="AC39" s="107" cm="1">
        <f t="array" ref="AC39">(AB39*(1+Table6[[#This Row],[Φεβ-23]]))/SUMPRODUCT(AB$2:AB$49,(1+'Monthly Returns'!AB$2:AB$49))</f>
        <v>3.3878963139571366E-2</v>
      </c>
      <c r="AD39" s="107" cm="1">
        <f t="array" ref="AD39">(AC39*(1+Table6[[#This Row],[Μαρ-23]]))/SUMPRODUCT(AC$2:AC$49,(1+'Monthly Returns'!AC$2:AC$49))</f>
        <v>3.6117209180126092E-2</v>
      </c>
      <c r="AE39" s="107" cm="1">
        <f t="array" ref="AE39">(AD39*(1+Table6[[#This Row],[Απρ-23]]))/SUMPRODUCT(AD$2:AD$49,(1+'Monthly Returns'!AD$2:AD$49))</f>
        <v>3.233738778992265E-2</v>
      </c>
      <c r="AF39" s="109">
        <v>3.2369701500367207E-2</v>
      </c>
      <c r="AG39" s="107" cm="1">
        <f t="array" ref="AG39">(AF39*(1+Table6[[#This Row],[Ιουν-23]]))/SUMPRODUCT(AF$2:AF$49,(1+'Monthly Returns'!AF$2:AF$49))</f>
        <v>3.0979361539031379E-2</v>
      </c>
      <c r="AH39" s="107" cm="1">
        <f t="array" ref="AH39">(AG39*(1+Table6[[#This Row],[Ιουλ-23]]))/SUMPRODUCT(AG$2:AG$49,(1+'Monthly Returns'!AG$2:AG$49))</f>
        <v>2.9855710815918736E-2</v>
      </c>
      <c r="AI39" s="107" cm="1">
        <f t="array" ref="AI39">(AH39*(1+Table6[[#This Row],[Αυγ-23]]))/SUMPRODUCT(AH$2:AH$49,(1+'Monthly Returns'!AH$2:AH$49))</f>
        <v>2.8431181087408695E-2</v>
      </c>
      <c r="AJ39" s="107" cm="1">
        <f t="array" ref="AJ39">(AI39*(1+Table6[[#This Row],[Σεπ-23]]))/SUMPRODUCT(AI$2:AI$49,(1+'Monthly Returns'!AI$2:AI$49))</f>
        <v>2.6539326404779753E-2</v>
      </c>
      <c r="AK39" s="107" cm="1">
        <f t="array" ref="AK39">(AJ39*(1+Table6[[#This Row],[Οκτ-23]]))/SUMPRODUCT(AJ$2:AJ$49,(1+'Monthly Returns'!AJ$2:AJ$49))</f>
        <v>2.7922655260297777E-2</v>
      </c>
      <c r="AL39" s="107" cm="1">
        <f t="array" ref="AL39">(AK39*(1+Table6[[#This Row],[Νοε-23]]))/SUMPRODUCT(AK$2:AK$49,(1+'Monthly Returns'!AK$2:AK$49))</f>
        <v>2.8361397330390611E-2</v>
      </c>
      <c r="AM39" s="109">
        <v>3.2369701500367207E-2</v>
      </c>
      <c r="AN39" s="107" cm="1">
        <f t="array" ref="AN39">(AM39*(1+Table6[[#This Row],[Ιαν-24]]))/SUMPRODUCT(AM$2:AM$49,(1+'Monthly Returns'!AM$2:AM$49))</f>
        <v>3.7261468724512969E-2</v>
      </c>
      <c r="AO39" s="107" cm="1">
        <f t="array" ref="AO39">(AN39*(1+Table6[[#This Row],[Φεβ-24]]))/SUMPRODUCT(AN$2:AN$49,(1+'Monthly Returns'!AN$2:AN$49))</f>
        <v>3.9347197272668687E-2</v>
      </c>
      <c r="AP39" s="107" cm="1">
        <f t="array" ref="AP39">(AO39*(1+Table6[[#This Row],[Μαρ-24]]))/SUMPRODUCT(AO$2:AO$49,(1+'Monthly Returns'!AO$2:AO$49))</f>
        <v>3.8219686905894376E-2</v>
      </c>
      <c r="AQ39" s="107" cm="1">
        <f t="array" ref="AQ39">(AP39*(1+Table6[[#This Row],[Απρ-24]]))/SUMPRODUCT(AP$2:AP$49,(1+'Monthly Returns'!AP$2:AP$49))</f>
        <v>3.5825505225876207E-2</v>
      </c>
      <c r="AR39" s="109">
        <v>3.2369701500367207E-2</v>
      </c>
      <c r="AS39" s="107" cm="1">
        <f t="array" ref="AS39">(AR39*(1+Table6[[#This Row],[Ιουν-24]]))/SUMPRODUCT(AR$2:AR$49,(1+'Monthly Returns'!AR$2:AR$49))</f>
        <v>3.6264101158624502E-2</v>
      </c>
      <c r="AT39" s="107" cm="1">
        <f t="array" ref="AT39">(AS39*(1+Table6[[#This Row],[Ιουλ-24]]))/SUMPRODUCT(AS$2:AS$49,(1+'Monthly Returns'!AS$2:AS$49))</f>
        <v>3.1173703656031344E-2</v>
      </c>
      <c r="AU39" s="107" cm="1">
        <f t="array" ref="AU39">(AT39*(1+Table6[[#This Row],[Αυγ-24]]))/SUMPRODUCT(AT$2:AT$49,(1+'Monthly Returns'!AT$2:AT$49))</f>
        <v>2.8975749437214395E-2</v>
      </c>
      <c r="AV39" s="107" cm="1">
        <f t="array" ref="AV39">(AU39*(1+Table6[[#This Row],[Σεπ-24]]))/SUMPRODUCT(AU$2:AU$49,(1+'Monthly Returns'!AU$2:AU$49))</f>
        <v>2.6608433485704103E-2</v>
      </c>
      <c r="AW39" s="107" cm="1">
        <f t="array" ref="AW39">(AV39*(1+Table6[[#This Row],[Οκτ-24]]))/SUMPRODUCT(AV$2:AV$49,(1+'Monthly Returns'!AV$2:AV$49))</f>
        <v>2.2727185280831824E-2</v>
      </c>
      <c r="AX39" s="107" cm="1">
        <f t="array" ref="AX39">(AW39*(1+Table6[[#This Row],[Νοε-24]]))/SUMPRODUCT(AW$2:AW$49,(1+'Monthly Returns'!AW$2:AW$49))</f>
        <v>2.3657899082347573E-2</v>
      </c>
      <c r="AY39" s="109">
        <v>3.2369701500367207E-2</v>
      </c>
      <c r="AZ39" s="107" cm="1">
        <f t="array" ref="AZ39">(AY39*(1+Table6[[#This Row],[Ιαν-25]]))/SUMPRODUCT(AY$2:AY$49,(1+'Monthly Returns'!AY$2:AY$49))</f>
        <v>3.2024361627492698E-2</v>
      </c>
      <c r="BA39" s="107" cm="1">
        <f t="array" ref="BA39">(AZ39*(1+Table6[[#This Row],[Φεβ-25]]))/SUMPRODUCT(AZ$2:AZ$49,(1+'Monthly Returns'!AZ$2:AZ$49))</f>
        <v>2.8695762418788882E-2</v>
      </c>
      <c r="BB39" s="107" cm="1">
        <f t="array" ref="BB39">(BA39*(1+Table6[[#This Row],[Μαρ-25]]))/SUMPRODUCT(BA$2:BA$49,(1+'Monthly Returns'!BA$2:BA$49))</f>
        <v>2.6214979974600358E-2</v>
      </c>
      <c r="BC39" s="107" cm="1">
        <f t="array" ref="BC39">(BB39*(1+Table6[[#This Row],[Απρ-25]]))/SUMPRODUCT(BB$2:BB$49,(1+'Monthly Returns'!BB$2:BB$49))</f>
        <v>2.5084952913683709E-2</v>
      </c>
      <c r="BD39" s="109">
        <v>3.2369701500367207E-2</v>
      </c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</row>
    <row r="40" spans="1:92">
      <c r="A40" s="110" t="s">
        <v>233</v>
      </c>
      <c r="B40" s="110" t="s">
        <v>234</v>
      </c>
      <c r="C40" s="109">
        <v>5.2968602455146343E-3</v>
      </c>
      <c r="D40" s="107" cm="1">
        <f t="array" ref="D40">(Table684[[#This Row],[Ιαν-21]]*(1+Table6[[#This Row],[Ιαν-21]]))/SUMPRODUCT(C$2:C$49,(1+'Monthly Returns'!C$2:C$49))</f>
        <v>5.6489900931046078E-3</v>
      </c>
      <c r="E40" s="107" cm="1">
        <f t="array" ref="E40">(Table684[[#This Row],[Φεβ-21]]*(1+Table6[[#This Row],[Φεβ-21]]))/SUMPRODUCT(D$2:D$49,(1+'Monthly Returns'!D$2:D$49))</f>
        <v>5.9406688210952184E-3</v>
      </c>
      <c r="F40" s="107" cm="1">
        <f t="array" ref="F40">(Table684[[#This Row],[Μαρ-21]]*(1+Table6[[#This Row],[Μαρ-21]]))/SUMPRODUCT(E$2:E$49,(1+'Monthly Returns'!E$2:E$49))</f>
        <v>5.6071051138762169E-3</v>
      </c>
      <c r="G40" s="107" cm="1">
        <f t="array" ref="G40">(Table684[[#This Row],[Απρ-21]]*(1+Table6[[#This Row],[Απρ-21]]))/SUMPRODUCT(F$2:F$49,(1+'Monthly Returns'!F$2:F$49))</f>
        <v>5.0824654794491188E-3</v>
      </c>
      <c r="H40" s="109">
        <v>5.2968602455146343E-3</v>
      </c>
      <c r="I40" s="107" cm="1">
        <f t="array" ref="I40">(Table684[[#This Row],[Ιουν-21]]*(1+Table6[[#This Row],[Ιουν-21]]))/SUMPRODUCT(H$2:H$49,(1+'Monthly Returns'!H$2:H$49))</f>
        <v>5.3233192981081371E-3</v>
      </c>
      <c r="J40" s="107" cm="1">
        <f t="array" ref="J40">(Table684[[#This Row],[Ιουλ-21]]*(1+Table6[[#This Row],[Ιουλ-21]]))/SUMPRODUCT(I$2:I$49,(1+'Monthly Returns'!I$2:I$49))</f>
        <v>4.9722006704287424E-3</v>
      </c>
      <c r="K40" s="107" cm="1">
        <f t="array" ref="K40">(Table684[[#This Row],[Αυγ-21]]*(1+Table6[[#This Row],[Αυγ-21]]))/SUMPRODUCT(J$2:J$49,(1+'Monthly Returns'!J$2:J$49))</f>
        <v>5.4400594222758086E-3</v>
      </c>
      <c r="L40" s="107" cm="1">
        <f t="array" ref="L40">(Table684[[#This Row],[Σεπ-21]]*(1+Table6[[#This Row],[Σεπ-21]]))/SUMPRODUCT(K$2:K$49,(1+'Monthly Returns'!K$2:K$49))</f>
        <v>5.4830236979896644E-3</v>
      </c>
      <c r="M40" s="107" cm="1">
        <f t="array" ref="M40">(Table684[[#This Row],[Οκτ-21]]*(1+Table6[[#This Row],[Οκτ-21]]))/SUMPRODUCT(L$2:L$49,(1+'Monthly Returns'!L$2:L$49))</f>
        <v>5.9445474556649542E-3</v>
      </c>
      <c r="N40" s="107" cm="1">
        <f t="array" ref="N40">(Table684[[#This Row],[Νοε-21]]*(1+Table6[[#This Row],[Νοε-21]]))/SUMPRODUCT(M$2:M$49,(1+'Monthly Returns'!M$2:M$49))</f>
        <v>6.1441944001992422E-3</v>
      </c>
      <c r="O40" s="109">
        <v>5.2968602455146343E-3</v>
      </c>
      <c r="P40" s="107" cm="1">
        <f t="array" ref="P40">(O40*(1+Table6[[#This Row],[Ιαν-22]]))/SUMPRODUCT(O$2:O$49,(1+'Monthly Returns'!O$2:O$49))</f>
        <v>4.7921949983106326E-3</v>
      </c>
      <c r="Q40" s="107" cm="1">
        <f t="array" ref="Q40">(P40*(1+Table6[[#This Row],[Φεβ-22]]))/SUMPRODUCT(P$2:P$49,(1+'Monthly Returns'!P$2:P$49))</f>
        <v>4.1354679145976115E-3</v>
      </c>
      <c r="R40" s="107" cm="1">
        <f t="array" ref="R40">(Q40*(1+Table6[[#This Row],[Μαρ-22]]))/SUMPRODUCT(Q$2:Q$49,(1+'Monthly Returns'!Q$2:Q$49))</f>
        <v>4.1455084967889546E-3</v>
      </c>
      <c r="S40" s="107" cm="1">
        <f t="array" ref="S40">(R40*(1+Table6[[#This Row],[Απρ-22]]))/SUMPRODUCT(R$2:R$49,(1+'Monthly Returns'!R$2:R$49))</f>
        <v>3.6285996430119225E-3</v>
      </c>
      <c r="T40" s="109">
        <v>5.2968602455146343E-3</v>
      </c>
      <c r="U40" s="107" cm="1">
        <f t="array" ref="U40">(T40*(1+Table6[[#This Row],[Ιουν-22]]))/SUMPRODUCT(T$2:T$49,(1+'Monthly Returns'!T$2:T$49))</f>
        <v>4.5855060874860605E-3</v>
      </c>
      <c r="V40" s="107" cm="1">
        <f t="array" ref="V40">(U40*(1+Table6[[#This Row],[Ιουλ-22]]))/SUMPRODUCT(U$2:U$49,(1+'Monthly Returns'!U$2:U$49))</f>
        <v>4.9756213786772011E-3</v>
      </c>
      <c r="W40" s="107" cm="1">
        <f t="array" ref="W40">(V40*(1+Table6[[#This Row],[Αυγ-22]]))/SUMPRODUCT(V$2:V$49,(1+'Monthly Returns'!V$2:V$49))</f>
        <v>4.7918474837404211E-3</v>
      </c>
      <c r="X40" s="107" cm="1">
        <f t="array" ref="X40">(W40*(1+Table6[[#This Row],[Σεπ-22]]))/SUMPRODUCT(W$2:W$49,(1+'Monthly Returns'!W$2:W$49))</f>
        <v>4.6504459037004882E-3</v>
      </c>
      <c r="Y40" s="107" cm="1">
        <f t="array" ref="Y40">(X40*(1+Table6[[#This Row],[Οκτ-22]]))/SUMPRODUCT(X$2:X$49,(1+'Monthly Returns'!X$2:X$49))</f>
        <v>4.7742068552025126E-3</v>
      </c>
      <c r="Z40" s="107" cm="1">
        <f t="array" ref="Z40">(Y40*(1+Table6[[#This Row],[Νοε-22]]))/SUMPRODUCT(Y$2:Y$49,(1+'Monthly Returns'!Y$2:Y$49))</f>
        <v>5.7794929376253062E-3</v>
      </c>
      <c r="AA40" s="109">
        <v>5.2968602455146343E-3</v>
      </c>
      <c r="AB40" s="107" cm="1">
        <f t="array" ref="AB40">(AA40*(1+Table6[[#This Row],[Ιαν-23]]))/SUMPRODUCT(AA$2:AA$49,(1+'Monthly Returns'!AA$2:AA$49))</f>
        <v>5.6395689962701378E-3</v>
      </c>
      <c r="AC40" s="107" cm="1">
        <f t="array" ref="AC40">(AB40*(1+Table6[[#This Row],[Φεβ-23]]))/SUMPRODUCT(AB$2:AB$49,(1+'Monthly Returns'!AB$2:AB$49))</f>
        <v>5.6647630950267171E-3</v>
      </c>
      <c r="AD40" s="107" cm="1">
        <f t="array" ref="AD40">(AC40*(1+Table6[[#This Row],[Μαρ-23]]))/SUMPRODUCT(AC$2:AC$49,(1+'Monthly Returns'!AC$2:AC$49))</f>
        <v>6.3515390667811334E-3</v>
      </c>
      <c r="AE40" s="107" cm="1">
        <f t="array" ref="AE40">(AD40*(1+Table6[[#This Row],[Απρ-23]]))/SUMPRODUCT(AD$2:AD$49,(1+'Monthly Returns'!AD$2:AD$49))</f>
        <v>5.4043671085284841E-3</v>
      </c>
      <c r="AF40" s="109">
        <v>5.2968602455146343E-3</v>
      </c>
      <c r="AG40" s="107" cm="1">
        <f t="array" ref="AG40">(AF40*(1+Table6[[#This Row],[Ιουν-23]]))/SUMPRODUCT(AF$2:AF$49,(1+'Monthly Returns'!AF$2:AF$49))</f>
        <v>5.5694561135969734E-3</v>
      </c>
      <c r="AH40" s="107" cm="1">
        <f t="array" ref="AH40">(AG40*(1+Table6[[#This Row],[Ιουλ-23]]))/SUMPRODUCT(AG$2:AG$49,(1+'Monthly Returns'!AG$2:AG$49))</f>
        <v>5.7728561386861119E-3</v>
      </c>
      <c r="AI40" s="107" cm="1">
        <f t="array" ref="AI40">(AH40*(1+Table6[[#This Row],[Αυγ-23]]))/SUMPRODUCT(AH$2:AH$49,(1+'Monthly Returns'!AH$2:AH$49))</f>
        <v>4.8671684678480414E-3</v>
      </c>
      <c r="AJ40" s="107" cm="1">
        <f t="array" ref="AJ40">(AI40*(1+Table6[[#This Row],[Σεπ-23]]))/SUMPRODUCT(AI$2:AI$49,(1+'Monthly Returns'!AI$2:AI$49))</f>
        <v>4.6855709865702335E-3</v>
      </c>
      <c r="AK40" s="107" cm="1">
        <f t="array" ref="AK40">(AJ40*(1+Table6[[#This Row],[Οκτ-23]]))/SUMPRODUCT(AJ$2:AJ$49,(1+'Monthly Returns'!AJ$2:AJ$49))</f>
        <v>4.2964495697251871E-3</v>
      </c>
      <c r="AL40" s="107" cm="1">
        <f t="array" ref="AL40">(AK40*(1+Table6[[#This Row],[Νοε-23]]))/SUMPRODUCT(AK$2:AK$49,(1+'Monthly Returns'!AK$2:AK$49))</f>
        <v>5.1025415861817233E-3</v>
      </c>
      <c r="AM40" s="109">
        <v>5.2968602455146343E-3</v>
      </c>
      <c r="AN40" s="107" cm="1">
        <f t="array" ref="AN40">(AM40*(1+Table6[[#This Row],[Ιαν-24]]))/SUMPRODUCT(AM$2:AM$49,(1+'Monthly Returns'!AM$2:AM$49))</f>
        <v>4.6246817656683632E-3</v>
      </c>
      <c r="AO40" s="107" cm="1">
        <f t="array" ref="AO40">(AN40*(1+Table6[[#This Row],[Φεβ-24]]))/SUMPRODUCT(AN$2:AN$49,(1+'Monthly Returns'!AN$2:AN$49))</f>
        <v>4.4687281245580036E-3</v>
      </c>
      <c r="AP40" s="107" cm="1">
        <f t="array" ref="AP40">(AO40*(1+Table6[[#This Row],[Μαρ-24]]))/SUMPRODUCT(AO$2:AO$49,(1+'Monthly Returns'!AO$2:AO$49))</f>
        <v>4.0056691161921443E-3</v>
      </c>
      <c r="AQ40" s="107" cm="1">
        <f t="array" ref="AQ40">(AP40*(1+Table6[[#This Row],[Απρ-24]]))/SUMPRODUCT(AP$2:AP$49,(1+'Monthly Returns'!AP$2:AP$49))</f>
        <v>4.1581987456066373E-3</v>
      </c>
      <c r="AR40" s="109">
        <v>5.2968602455146343E-3</v>
      </c>
      <c r="AS40" s="107" cm="1">
        <f t="array" ref="AS40">(AR40*(1+Table6[[#This Row],[Ιουν-24]]))/SUMPRODUCT(AR$2:AR$49,(1+'Monthly Returns'!AR$2:AR$49))</f>
        <v>4.9625217614669035E-3</v>
      </c>
      <c r="AT40" s="107" cm="1">
        <f t="array" ref="AT40">(AS40*(1+Table6[[#This Row],[Ιουλ-24]]))/SUMPRODUCT(AS$2:AS$49,(1+'Monthly Returns'!AS$2:AS$49))</f>
        <v>4.5430218723496087E-3</v>
      </c>
      <c r="AU40" s="107" cm="1">
        <f t="array" ref="AU40">(AT40*(1+Table6[[#This Row],[Αυγ-24]]))/SUMPRODUCT(AT$2:AT$49,(1+'Monthly Returns'!AT$2:AT$49))</f>
        <v>4.5323236637653157E-3</v>
      </c>
      <c r="AV40" s="107" cm="1">
        <f t="array" ref="AV40">(AU40*(1+Table6[[#This Row],[Σεπ-24]]))/SUMPRODUCT(AU$2:AU$49,(1+'Monthly Returns'!AU$2:AU$49))</f>
        <v>4.3261212573131071E-3</v>
      </c>
      <c r="AW40" s="107" cm="1">
        <f t="array" ref="AW40">(AV40*(1+Table6[[#This Row],[Οκτ-24]]))/SUMPRODUCT(AV$2:AV$49,(1+'Monthly Returns'!AV$2:AV$49))</f>
        <v>4.0950854926960663E-3</v>
      </c>
      <c r="AX40" s="107" cm="1">
        <f t="array" ref="AX40">(AW40*(1+Table6[[#This Row],[Νοε-24]]))/SUMPRODUCT(AW$2:AW$49,(1+'Monthly Returns'!AW$2:AW$49))</f>
        <v>4.2318172117852045E-3</v>
      </c>
      <c r="AY40" s="109">
        <v>5.2968602455146343E-3</v>
      </c>
      <c r="AZ40" s="107" cm="1">
        <f t="array" ref="AZ40">(AY40*(1+Table6[[#This Row],[Ιαν-25]]))/SUMPRODUCT(AY$2:AY$49,(1+'Monthly Returns'!AY$2:AY$49))</f>
        <v>4.9386657680264385E-3</v>
      </c>
      <c r="BA40" s="107" cm="1">
        <f t="array" ref="BA40">(AZ40*(1+Table6[[#This Row],[Φεβ-25]]))/SUMPRODUCT(AZ$2:AZ$49,(1+'Monthly Returns'!AZ$2:AZ$49))</f>
        <v>5.2963029865270642E-3</v>
      </c>
      <c r="BB40" s="107" cm="1">
        <f t="array" ref="BB40">(BA40*(1+Table6[[#This Row],[Μαρ-25]]))/SUMPRODUCT(BA$2:BA$49,(1+'Monthly Returns'!BA$2:BA$49))</f>
        <v>4.7316932866915623E-3</v>
      </c>
      <c r="BC40" s="107" cm="1">
        <f t="array" ref="BC40">(BB40*(1+Table6[[#This Row],[Απρ-25]]))/SUMPRODUCT(BB$2:BB$49,(1+'Monthly Returns'!BB$2:BB$49))</f>
        <v>4.4342809693329616E-3</v>
      </c>
      <c r="BD40" s="109">
        <v>5.2968602455146343E-3</v>
      </c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</row>
    <row r="41" spans="1:92">
      <c r="A41" s="110" t="s">
        <v>28</v>
      </c>
      <c r="B41" s="110" t="s">
        <v>29</v>
      </c>
      <c r="C41" s="109">
        <v>3.4518938201657738E-2</v>
      </c>
      <c r="D41" s="107" cm="1">
        <f t="array" ref="D41">(Table684[[#This Row],[Ιαν-21]]*(1+Table6[[#This Row],[Ιαν-21]]))/SUMPRODUCT(C$2:C$49,(1+'Monthly Returns'!C$2:C$49))</f>
        <v>3.411186139103943E-2</v>
      </c>
      <c r="E41" s="107" cm="1">
        <f t="array" ref="E41">(Table684[[#This Row],[Φεβ-21]]*(1+Table6[[#This Row],[Φεβ-21]]))/SUMPRODUCT(D$2:D$49,(1+'Monthly Returns'!D$2:D$49))</f>
        <v>3.2034781174574645E-2</v>
      </c>
      <c r="F41" s="107" cm="1">
        <f t="array" ref="F41">(Table684[[#This Row],[Μαρ-21]]*(1+Table6[[#This Row],[Μαρ-21]]))/SUMPRODUCT(E$2:E$49,(1+'Monthly Returns'!E$2:E$49))</f>
        <v>3.0566076772249481E-2</v>
      </c>
      <c r="G41" s="107" cm="1">
        <f t="array" ref="G41">(Table684[[#This Row],[Απρ-21]]*(1+Table6[[#This Row],[Απρ-21]]))/SUMPRODUCT(F$2:F$49,(1+'Monthly Returns'!F$2:F$49))</f>
        <v>3.3476329079228651E-2</v>
      </c>
      <c r="H41" s="109">
        <v>3.4518938201657738E-2</v>
      </c>
      <c r="I41" s="107" cm="1">
        <f t="array" ref="I41">(Table684[[#This Row],[Ιουν-21]]*(1+Table6[[#This Row],[Ιουν-21]]))/SUMPRODUCT(H$2:H$49,(1+'Monthly Returns'!H$2:H$49))</f>
        <v>3.532354181134055E-2</v>
      </c>
      <c r="J41" s="107" cm="1">
        <f t="array" ref="J41">(Table684[[#This Row],[Ιουλ-21]]*(1+Table6[[#This Row],[Ιουλ-21]]))/SUMPRODUCT(I$2:I$49,(1+'Monthly Returns'!I$2:I$49))</f>
        <v>3.5441499389454088E-2</v>
      </c>
      <c r="K41" s="107" cm="1">
        <f t="array" ref="K41">(Table684[[#This Row],[Αυγ-21]]*(1+Table6[[#This Row],[Αυγ-21]]))/SUMPRODUCT(J$2:J$49,(1+'Monthly Returns'!J$2:J$49))</f>
        <v>3.6314208122806585E-2</v>
      </c>
      <c r="L41" s="107" cm="1">
        <f t="array" ref="L41">(Table684[[#This Row],[Σεπ-21]]*(1+Table6[[#This Row],[Σεπ-21]]))/SUMPRODUCT(K$2:K$49,(1+'Monthly Returns'!K$2:K$49))</f>
        <v>3.4277902378357997E-2</v>
      </c>
      <c r="M41" s="107" cm="1">
        <f t="array" ref="M41">(Table684[[#This Row],[Οκτ-21]]*(1+Table6[[#This Row],[Οκτ-21]]))/SUMPRODUCT(L$2:L$49,(1+'Monthly Returns'!L$2:L$49))</f>
        <v>3.5018397142863339E-2</v>
      </c>
      <c r="N41" s="107" cm="1">
        <f t="array" ref="N41">(Table684[[#This Row],[Νοε-21]]*(1+Table6[[#This Row],[Νοε-21]]))/SUMPRODUCT(M$2:M$49,(1+'Monthly Returns'!M$2:M$49))</f>
        <v>3.3089602580773425E-2</v>
      </c>
      <c r="O41" s="109">
        <v>3.4518938201657738E-2</v>
      </c>
      <c r="P41" s="107" cm="1">
        <f t="array" ref="P41">(O41*(1+Table6[[#This Row],[Ιαν-22]]))/SUMPRODUCT(O$2:O$49,(1+'Monthly Returns'!O$2:O$49))</f>
        <v>3.0930682447639676E-2</v>
      </c>
      <c r="Q41" s="107" cm="1">
        <f t="array" ref="Q41">(P41*(1+Table6[[#This Row],[Φεβ-22]]))/SUMPRODUCT(P$2:P$49,(1+'Monthly Returns'!P$2:P$49))</f>
        <v>2.9014062909080627E-2</v>
      </c>
      <c r="R41" s="107" cm="1">
        <f t="array" ref="R41">(Q41*(1+Table6[[#This Row],[Μαρ-22]]))/SUMPRODUCT(Q$2:Q$49,(1+'Monthly Returns'!Q$2:Q$49))</f>
        <v>2.8641537413716767E-2</v>
      </c>
      <c r="S41" s="107" cm="1">
        <f t="array" ref="S41">(R41*(1+Table6[[#This Row],[Απρ-22]]))/SUMPRODUCT(R$2:R$49,(1+'Monthly Returns'!R$2:R$49))</f>
        <v>2.7094999133338193E-2</v>
      </c>
      <c r="T41" s="109">
        <v>3.4518938201657738E-2</v>
      </c>
      <c r="U41" s="107" cm="1">
        <f t="array" ref="U41">(T41*(1+Table6[[#This Row],[Ιουν-22]]))/SUMPRODUCT(T$2:T$49,(1+'Monthly Returns'!T$2:T$49))</f>
        <v>3.4759951194842015E-2</v>
      </c>
      <c r="V41" s="107" cm="1">
        <f t="array" ref="V41">(U41*(1+Table6[[#This Row],[Ιουλ-22]]))/SUMPRODUCT(U$2:U$49,(1+'Monthly Returns'!U$2:U$49))</f>
        <v>3.4472021947883E-2</v>
      </c>
      <c r="W41" s="107" cm="1">
        <f t="array" ref="W41">(V41*(1+Table6[[#This Row],[Αυγ-22]]))/SUMPRODUCT(V$2:V$49,(1+'Monthly Returns'!V$2:V$49))</f>
        <v>3.3972557313709198E-2</v>
      </c>
      <c r="X41" s="107" cm="1">
        <f t="array" ref="X41">(W41*(1+Table6[[#This Row],[Σεπ-22]]))/SUMPRODUCT(W$2:W$49,(1+'Monthly Returns'!W$2:W$49))</f>
        <v>3.4966625207638352E-2</v>
      </c>
      <c r="Y41" s="107" cm="1">
        <f t="array" ref="Y41">(X41*(1+Table6[[#This Row],[Οκτ-22]]))/SUMPRODUCT(X$2:X$49,(1+'Monthly Returns'!X$2:X$49))</f>
        <v>3.8110445278320582E-2</v>
      </c>
      <c r="Z41" s="107" cm="1">
        <f t="array" ref="Z41">(Y41*(1+Table6[[#This Row],[Νοε-22]]))/SUMPRODUCT(Y$2:Y$49,(1+'Monthly Returns'!Y$2:Y$49))</f>
        <v>3.856626499883993E-2</v>
      </c>
      <c r="AA41" s="109">
        <v>3.4518938201657738E-2</v>
      </c>
      <c r="AB41" s="107" cm="1">
        <f t="array" ref="AB41">(AA41*(1+Table6[[#This Row],[Ιαν-23]]))/SUMPRODUCT(AA$2:AA$49,(1+'Monthly Returns'!AA$2:AA$49))</f>
        <v>3.5644470008765541E-2</v>
      </c>
      <c r="AC41" s="107" cm="1">
        <f t="array" ref="AC41">(AB41*(1+Table6[[#This Row],[Φεβ-23]]))/SUMPRODUCT(AB$2:AB$49,(1+'Monthly Returns'!AB$2:AB$49))</f>
        <v>3.4661967349412154E-2</v>
      </c>
      <c r="AD41" s="107" cm="1">
        <f t="array" ref="AD41">(AC41*(1+Table6[[#This Row],[Μαρ-23]]))/SUMPRODUCT(AC$2:AC$49,(1+'Monthly Returns'!AC$2:AC$49))</f>
        <v>3.7328193830940014E-2</v>
      </c>
      <c r="AE41" s="107" cm="1">
        <f t="array" ref="AE41">(AD41*(1+Table6[[#This Row],[Απρ-23]]))/SUMPRODUCT(AD$2:AD$49,(1+'Monthly Returns'!AD$2:AD$49))</f>
        <v>3.8350793465639153E-2</v>
      </c>
      <c r="AF41" s="109">
        <v>3.4518938201657738E-2</v>
      </c>
      <c r="AG41" s="107" cm="1">
        <f t="array" ref="AG41">(AF41*(1+Table6[[#This Row],[Ιουν-23]]))/SUMPRODUCT(AF$2:AF$49,(1+'Monthly Returns'!AF$2:AF$49))</f>
        <v>3.4401503138137203E-2</v>
      </c>
      <c r="AH41" s="107" cm="1">
        <f t="array" ref="AH41">(AG41*(1+Table6[[#This Row],[Ιουλ-23]]))/SUMPRODUCT(AG$2:AG$49,(1+'Monthly Returns'!AG$2:AG$49))</f>
        <v>3.3352576326627734E-2</v>
      </c>
      <c r="AI41" s="107" cm="1">
        <f t="array" ref="AI41">(AH41*(1+Table6[[#This Row],[Αυγ-23]]))/SUMPRODUCT(AH$2:AH$49,(1+'Monthly Returns'!AH$2:AH$49))</f>
        <v>3.5320818256208218E-2</v>
      </c>
      <c r="AJ41" s="107" cm="1">
        <f t="array" ref="AJ41">(AI41*(1+Table6[[#This Row],[Σεπ-23]]))/SUMPRODUCT(AI$2:AI$49,(1+'Monthly Returns'!AI$2:AI$49))</f>
        <v>3.3985049062677679E-2</v>
      </c>
      <c r="AK41" s="107" cm="1">
        <f t="array" ref="AK41">(AJ41*(1+Table6[[#This Row],[Οκτ-23]]))/SUMPRODUCT(AJ$2:AJ$49,(1+'Monthly Returns'!AJ$2:AJ$49))</f>
        <v>3.6668866381048972E-2</v>
      </c>
      <c r="AL41" s="107" cm="1">
        <f t="array" ref="AL41">(AK41*(1+Table6[[#This Row],[Νοε-23]]))/SUMPRODUCT(AK$2:AK$49,(1+'Monthly Returns'!AK$2:AK$49))</f>
        <v>3.8886662198258537E-2</v>
      </c>
      <c r="AM41" s="109">
        <v>3.4518938201657738E-2</v>
      </c>
      <c r="AN41" s="107" cm="1">
        <f t="array" ref="AN41">(AM41*(1+Table6[[#This Row],[Ιαν-24]]))/SUMPRODUCT(AM$2:AM$49,(1+'Monthly Returns'!AM$2:AM$49))</f>
        <v>3.8927828384582717E-2</v>
      </c>
      <c r="AO41" s="107" cm="1">
        <f t="array" ref="AO41">(AN41*(1+Table6[[#This Row],[Φεβ-24]]))/SUMPRODUCT(AN$2:AN$49,(1+'Monthly Returns'!AN$2:AN$49))</f>
        <v>4.0783245249409891E-2</v>
      </c>
      <c r="AP41" s="107" cm="1">
        <f t="array" ref="AP41">(AO41*(1+Table6[[#This Row],[Μαρ-24]]))/SUMPRODUCT(AO$2:AO$49,(1+'Monthly Returns'!AO$2:AO$49))</f>
        <v>4.0244614306354357E-2</v>
      </c>
      <c r="AQ41" s="107" cm="1">
        <f t="array" ref="AQ41">(AP41*(1+Table6[[#This Row],[Απρ-24]]))/SUMPRODUCT(AP$2:AP$49,(1+'Monthly Returns'!AP$2:AP$49))</f>
        <v>3.791315160780466E-2</v>
      </c>
      <c r="AR41" s="109">
        <v>3.4518938201657738E-2</v>
      </c>
      <c r="AS41" s="107" cm="1">
        <f t="array" ref="AS41">(AR41*(1+Table6[[#This Row],[Ιουν-24]]))/SUMPRODUCT(AR$2:AR$49,(1+'Monthly Returns'!AR$2:AR$49))</f>
        <v>3.9244674588692206E-2</v>
      </c>
      <c r="AT41" s="107" cm="1">
        <f t="array" ref="AT41">(AS41*(1+Table6[[#This Row],[Ιουλ-24]]))/SUMPRODUCT(AS$2:AS$49,(1+'Monthly Returns'!AS$2:AS$49))</f>
        <v>3.9416442312256765E-2</v>
      </c>
      <c r="AU41" s="107" cm="1">
        <f t="array" ref="AU41">(AT41*(1+Table6[[#This Row],[Αυγ-24]]))/SUMPRODUCT(AT$2:AT$49,(1+'Monthly Returns'!AT$2:AT$49))</f>
        <v>3.902429108485278E-2</v>
      </c>
      <c r="AV41" s="107" cm="1">
        <f t="array" ref="AV41">(AU41*(1+Table6[[#This Row],[Σεπ-24]]))/SUMPRODUCT(AU$2:AU$49,(1+'Monthly Returns'!AU$2:AU$49))</f>
        <v>4.0558464218590579E-2</v>
      </c>
      <c r="AW41" s="107" cm="1">
        <f t="array" ref="AW41">(AV41*(1+Table6[[#This Row],[Οκτ-24]]))/SUMPRODUCT(AV$2:AV$49,(1+'Monthly Returns'!AV$2:AV$49))</f>
        <v>4.3212762182105631E-2</v>
      </c>
      <c r="AX41" s="107" cm="1">
        <f t="array" ref="AX41">(AW41*(1+Table6[[#This Row],[Νοε-24]]))/SUMPRODUCT(AW$2:AW$49,(1+'Monthly Returns'!AW$2:AW$49))</f>
        <v>4.4409449403029586E-2</v>
      </c>
      <c r="AY41" s="109">
        <v>3.4518938201657738E-2</v>
      </c>
      <c r="AZ41" s="107" cm="1">
        <f t="array" ref="AZ41">(AY41*(1+Table6[[#This Row],[Ιαν-25]]))/SUMPRODUCT(AY$2:AY$49,(1+'Monthly Returns'!AY$2:AY$49))</f>
        <v>3.6206508431882833E-2</v>
      </c>
      <c r="BA41" s="107" cm="1">
        <f t="array" ref="BA41">(AZ41*(1+Table6[[#This Row],[Φεβ-25]]))/SUMPRODUCT(AZ$2:AZ$49,(1+'Monthly Returns'!AZ$2:AZ$49))</f>
        <v>3.4270519939007815E-2</v>
      </c>
      <c r="BB41" s="107" cm="1">
        <f t="array" ref="BB41">(BA41*(1+Table6[[#This Row],[Μαρ-25]]))/SUMPRODUCT(BA$2:BA$49,(1+'Monthly Returns'!BA$2:BA$49))</f>
        <v>3.2745217017477422E-2</v>
      </c>
      <c r="BC41" s="107" cm="1">
        <f t="array" ref="BC41">(BB41*(1+Table6[[#This Row],[Απρ-25]]))/SUMPRODUCT(BB$2:BB$49,(1+'Monthly Returns'!BB$2:BB$49))</f>
        <v>3.3861970320444919E-2</v>
      </c>
      <c r="BD41" s="109">
        <v>3.4518938201657738E-2</v>
      </c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</row>
    <row r="42" spans="1:92">
      <c r="A42" s="110" t="s">
        <v>238</v>
      </c>
      <c r="B42" s="110" t="s">
        <v>239</v>
      </c>
      <c r="C42" s="109">
        <v>3.7287232754654842E-2</v>
      </c>
      <c r="D42" s="107" cm="1">
        <f t="array" ref="D42">(Table684[[#This Row],[Ιαν-21]]*(1+Table6[[#This Row],[Ιαν-21]]))/SUMPRODUCT(C$2:C$49,(1+'Monthly Returns'!C$2:C$49))</f>
        <v>4.1307018818945336E-2</v>
      </c>
      <c r="E42" s="107" cm="1">
        <f t="array" ref="E42">(Table684[[#This Row],[Φεβ-21]]*(1+Table6[[#This Row],[Φεβ-21]]))/SUMPRODUCT(D$2:D$49,(1+'Monthly Returns'!D$2:D$49))</f>
        <v>4.2920069489962034E-2</v>
      </c>
      <c r="F42" s="107" cm="1">
        <f t="array" ref="F42">(Table684[[#This Row],[Μαρ-21]]*(1+Table6[[#This Row],[Μαρ-21]]))/SUMPRODUCT(E$2:E$49,(1+'Monthly Returns'!E$2:E$49))</f>
        <v>4.5535645378865147E-2</v>
      </c>
      <c r="G42" s="107" cm="1">
        <f t="array" ref="G42">(Table684[[#This Row],[Απρ-21]]*(1+Table6[[#This Row],[Απρ-21]]))/SUMPRODUCT(F$2:F$49,(1+'Monthly Returns'!F$2:F$49))</f>
        <v>4.6711314840791815E-2</v>
      </c>
      <c r="H42" s="109">
        <v>3.7287232754654842E-2</v>
      </c>
      <c r="I42" s="107" cm="1">
        <f t="array" ref="I42">(Table684[[#This Row],[Ιουν-21]]*(1+Table6[[#This Row],[Ιουν-21]]))/SUMPRODUCT(H$2:H$49,(1+'Monthly Returns'!H$2:H$49))</f>
        <v>3.7195712740762554E-2</v>
      </c>
      <c r="J42" s="107" cm="1">
        <f t="array" ref="J42">(Table684[[#This Row],[Ιουλ-21]]*(1+Table6[[#This Row],[Ιουλ-21]]))/SUMPRODUCT(I$2:I$49,(1+'Monthly Returns'!I$2:I$49))</f>
        <v>3.983155382832522E-2</v>
      </c>
      <c r="K42" s="107" cm="1">
        <f t="array" ref="K42">(Table684[[#This Row],[Αυγ-21]]*(1+Table6[[#This Row],[Αυγ-21]]))/SUMPRODUCT(J$2:J$49,(1+'Monthly Returns'!J$2:J$49))</f>
        <v>3.9544104455281975E-2</v>
      </c>
      <c r="L42" s="107" cm="1">
        <f t="array" ref="L42">(Table684[[#This Row],[Σεπ-21]]*(1+Table6[[#This Row],[Σεπ-21]]))/SUMPRODUCT(K$2:K$49,(1+'Monthly Returns'!K$2:K$49))</f>
        <v>3.8398832410319467E-2</v>
      </c>
      <c r="M42" s="107" cm="1">
        <f t="array" ref="M42">(Table684[[#This Row],[Οκτ-21]]*(1+Table6[[#This Row],[Οκτ-21]]))/SUMPRODUCT(L$2:L$49,(1+'Monthly Returns'!L$2:L$49))</f>
        <v>3.7570195192671234E-2</v>
      </c>
      <c r="N42" s="107" cm="1">
        <f t="array" ref="N42">(Table684[[#This Row],[Νοε-21]]*(1+Table6[[#This Row],[Νοε-21]]))/SUMPRODUCT(M$2:M$49,(1+'Monthly Returns'!M$2:M$49))</f>
        <v>3.6879067911395322E-2</v>
      </c>
      <c r="O42" s="109">
        <v>3.7287232754654842E-2</v>
      </c>
      <c r="P42" s="107" cm="1">
        <f t="array" ref="P42">(O42*(1+Table6[[#This Row],[Ιαν-22]]))/SUMPRODUCT(O$2:O$49,(1+'Monthly Returns'!O$2:O$49))</f>
        <v>3.6258848661792804E-2</v>
      </c>
      <c r="Q42" s="107" cm="1">
        <f t="array" ref="Q42">(P42*(1+Table6[[#This Row],[Φεβ-22]]))/SUMPRODUCT(P$2:P$49,(1+'Monthly Returns'!P$2:P$49))</f>
        <v>3.5266804896554392E-2</v>
      </c>
      <c r="R42" s="107" cm="1">
        <f t="array" ref="R42">(Q42*(1+Table6[[#This Row],[Μαρ-22]]))/SUMPRODUCT(Q$2:Q$49,(1+'Monthly Returns'!Q$2:Q$49))</f>
        <v>3.3694516232163921E-2</v>
      </c>
      <c r="S42" s="107" cm="1">
        <f t="array" ref="S42">(R42*(1+Table6[[#This Row],[Απρ-22]]))/SUMPRODUCT(R$2:R$49,(1+'Monthly Returns'!R$2:R$49))</f>
        <v>3.4676725007122947E-2</v>
      </c>
      <c r="T42" s="109">
        <v>3.7287232754654842E-2</v>
      </c>
      <c r="U42" s="107" cm="1">
        <f t="array" ref="U42">(T42*(1+Table6[[#This Row],[Ιουν-22]]))/SUMPRODUCT(T$2:T$49,(1+'Monthly Returns'!T$2:T$49))</f>
        <v>3.0089217949441468E-2</v>
      </c>
      <c r="V42" s="107" cm="1">
        <f t="array" ref="V42">(U42*(1+Table6[[#This Row],[Ιουλ-22]]))/SUMPRODUCT(U$2:U$49,(1+'Monthly Returns'!U$2:U$49))</f>
        <v>3.137840138434414E-2</v>
      </c>
      <c r="W42" s="107" cm="1">
        <f t="array" ref="W42">(V42*(1+Table6[[#This Row],[Αυγ-22]]))/SUMPRODUCT(V$2:V$49,(1+'Monthly Returns'!V$2:V$49))</f>
        <v>2.9436998425404079E-2</v>
      </c>
      <c r="X42" s="107" cm="1">
        <f t="array" ref="X42">(W42*(1+Table6[[#This Row],[Σεπ-22]]))/SUMPRODUCT(W$2:W$49,(1+'Monthly Returns'!W$2:W$49))</f>
        <v>2.8519138526215917E-2</v>
      </c>
      <c r="Y42" s="107" cm="1">
        <f t="array" ref="Y42">(X42*(1+Table6[[#This Row],[Οκτ-22]]))/SUMPRODUCT(X$2:X$49,(1+'Monthly Returns'!X$2:X$49))</f>
        <v>2.9663270356304457E-2</v>
      </c>
      <c r="Z42" s="107" cm="1">
        <f t="array" ref="Z42">(Y42*(1+Table6[[#This Row],[Νοε-22]]))/SUMPRODUCT(Y$2:Y$49,(1+'Monthly Returns'!Y$2:Y$49))</f>
        <v>2.9088734312723241E-2</v>
      </c>
      <c r="AA42" s="109">
        <v>3.7287232754654842E-2</v>
      </c>
      <c r="AB42" s="107" cm="1">
        <f t="array" ref="AB42">(AA42*(1+Table6[[#This Row],[Ιαν-23]]))/SUMPRODUCT(AA$2:AA$49,(1+'Monthly Returns'!AA$2:AA$49))</f>
        <v>3.9359526662846242E-2</v>
      </c>
      <c r="AC42" s="107" cm="1">
        <f t="array" ref="AC42">(AB42*(1+Table6[[#This Row],[Φεβ-23]]))/SUMPRODUCT(AB$2:AB$49,(1+'Monthly Returns'!AB$2:AB$49))</f>
        <v>4.1454757097669694E-2</v>
      </c>
      <c r="AD42" s="107" cm="1">
        <f t="array" ref="AD42">(AC42*(1+Table6[[#This Row],[Μαρ-23]]))/SUMPRODUCT(AC$2:AC$49,(1+'Monthly Returns'!AC$2:AC$49))</f>
        <v>3.834420707349559E-2</v>
      </c>
      <c r="AE42" s="107" cm="1">
        <f t="array" ref="AE42">(AD42*(1+Table6[[#This Row],[Απρ-23]]))/SUMPRODUCT(AD$2:AD$49,(1+'Monthly Returns'!AD$2:AD$49))</f>
        <v>3.7383913418670082E-2</v>
      </c>
      <c r="AF42" s="109">
        <v>3.7287232754654842E-2</v>
      </c>
      <c r="AG42" s="107" cm="1">
        <f t="array" ref="AG42">(AF42*(1+Table6[[#This Row],[Ιουν-23]]))/SUMPRODUCT(AF$2:AF$49,(1+'Monthly Returns'!AF$2:AF$49))</f>
        <v>3.8886966726745693E-2</v>
      </c>
      <c r="AH42" s="107" cm="1">
        <f t="array" ref="AH42">(AG42*(1+Table6[[#This Row],[Ιουλ-23]]))/SUMPRODUCT(AG$2:AG$49,(1+'Monthly Returns'!AG$2:AG$49))</f>
        <v>4.2028236295352198E-2</v>
      </c>
      <c r="AI42" s="107" cm="1">
        <f t="array" ref="AI42">(AH42*(1+Table6[[#This Row],[Αυγ-23]]))/SUMPRODUCT(AH$2:AH$49,(1+'Monthly Returns'!AH$2:AH$49))</f>
        <v>4.1922073702036766E-2</v>
      </c>
      <c r="AJ42" s="107" cm="1">
        <f t="array" ref="AJ42">(AI42*(1+Table6[[#This Row],[Σεπ-23]]))/SUMPRODUCT(AI$2:AI$49,(1+'Monthly Returns'!AI$2:AI$49))</f>
        <v>4.0229378674221133E-2</v>
      </c>
      <c r="AK42" s="107" cm="1">
        <f t="array" ref="AK42">(AJ42*(1+Table6[[#This Row],[Οκτ-23]]))/SUMPRODUCT(AJ$2:AJ$49,(1+'Monthly Returns'!AJ$2:AJ$49))</f>
        <v>3.7828538667540386E-2</v>
      </c>
      <c r="AL42" s="107" cm="1">
        <f t="array" ref="AL42">(AK42*(1+Table6[[#This Row],[Νοε-23]]))/SUMPRODUCT(AK$2:AK$49,(1+'Monthly Returns'!AK$2:AK$49))</f>
        <v>4.0464873234706891E-2</v>
      </c>
      <c r="AM42" s="109">
        <v>3.7287232754654842E-2</v>
      </c>
      <c r="AN42" s="107" cm="1">
        <f t="array" ref="AN42">(AM42*(1+Table6[[#This Row],[Ιαν-24]]))/SUMPRODUCT(AM$2:AM$49,(1+'Monthly Returns'!AM$2:AM$49))</f>
        <v>3.6206465886474394E-2</v>
      </c>
      <c r="AO42" s="107" cm="1">
        <f t="array" ref="AO42">(AN42*(1+Table6[[#This Row],[Φεβ-24]]))/SUMPRODUCT(AN$2:AN$49,(1+'Monthly Returns'!AN$2:AN$49))</f>
        <v>3.784501611810203E-2</v>
      </c>
      <c r="AP42" s="107" cm="1">
        <f t="array" ref="AP42">(AO42*(1+Table6[[#This Row],[Μαρ-24]]))/SUMPRODUCT(AO$2:AO$49,(1+'Monthly Returns'!AO$2:AO$49))</f>
        <v>3.6235193961503154E-2</v>
      </c>
      <c r="AQ42" s="107" cm="1">
        <f t="array" ref="AQ42">(AP42*(1+Table6[[#This Row],[Απρ-24]]))/SUMPRODUCT(AP$2:AP$49,(1+'Monthly Returns'!AP$2:AP$49))</f>
        <v>3.7693180138517829E-2</v>
      </c>
      <c r="AR42" s="109">
        <v>3.7287232754654842E-2</v>
      </c>
      <c r="AS42" s="107" cm="1">
        <f t="array" ref="AS42">(AR42*(1+Table6[[#This Row],[Ιουν-24]]))/SUMPRODUCT(AR$2:AR$49,(1+'Monthly Returns'!AR$2:AR$49))</f>
        <v>3.3998680189073878E-2</v>
      </c>
      <c r="AT42" s="107" cm="1">
        <f t="array" ref="AT42">(AS42*(1+Table6[[#This Row],[Ιουλ-24]]))/SUMPRODUCT(AS$2:AS$49,(1+'Monthly Returns'!AS$2:AS$49))</f>
        <v>3.6178593525922835E-2</v>
      </c>
      <c r="AU42" s="107" cm="1">
        <f t="array" ref="AU42">(AT42*(1+Table6[[#This Row],[Αυγ-24]]))/SUMPRODUCT(AT$2:AT$49,(1+'Monthly Returns'!AT$2:AT$49))</f>
        <v>3.506375771706665E-2</v>
      </c>
      <c r="AV42" s="107" cm="1">
        <f t="array" ref="AV42">(AU42*(1+Table6[[#This Row],[Σεπ-24]]))/SUMPRODUCT(AU$2:AU$49,(1+'Monthly Returns'!AU$2:AU$49))</f>
        <v>3.6238273242076E-2</v>
      </c>
      <c r="AW42" s="107" cm="1">
        <f t="array" ref="AW42">(AV42*(1+Table6[[#This Row],[Οκτ-24]]))/SUMPRODUCT(AV$2:AV$49,(1+'Monthly Returns'!AV$2:AV$49))</f>
        <v>3.7635737390743794E-2</v>
      </c>
      <c r="AX42" s="107" cm="1">
        <f t="array" ref="AX42">(AW42*(1+Table6[[#This Row],[Νοε-24]]))/SUMPRODUCT(AW$2:AW$49,(1+'Monthly Returns'!AW$2:AW$49))</f>
        <v>3.8459592077564421E-2</v>
      </c>
      <c r="AY42" s="109">
        <v>3.7287232754654842E-2</v>
      </c>
      <c r="AZ42" s="107" cm="1">
        <f t="array" ref="AZ42">(AY42*(1+Table6[[#This Row],[Ιαν-25]]))/SUMPRODUCT(AY$2:AY$49,(1+'Monthly Returns'!AY$2:AY$49))</f>
        <v>3.6617221945512222E-2</v>
      </c>
      <c r="BA42" s="107" cm="1">
        <f t="array" ref="BA42">(AZ42*(1+Table6[[#This Row],[Φεβ-25]]))/SUMPRODUCT(AZ$2:AZ$49,(1+'Monthly Returns'!AZ$2:AZ$49))</f>
        <v>3.7232056691156472E-2</v>
      </c>
      <c r="BB42" s="107" cm="1">
        <f t="array" ref="BB42">(BA42*(1+Table6[[#This Row],[Μαρ-25]]))/SUMPRODUCT(BA$2:BA$49,(1+'Monthly Returns'!BA$2:BA$49))</f>
        <v>3.6111903269573781E-2</v>
      </c>
      <c r="BC42" s="107" cm="1">
        <f t="array" ref="BC42">(BB42*(1+Table6[[#This Row],[Απρ-25]]))/SUMPRODUCT(BB$2:BB$49,(1+'Monthly Returns'!BB$2:BB$49))</f>
        <v>3.7323386922595007E-2</v>
      </c>
      <c r="BD42" s="109">
        <v>3.7287232754654842E-2</v>
      </c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</row>
    <row r="43" spans="1:92" ht="14.25" customHeight="1">
      <c r="A43" s="110" t="s">
        <v>244</v>
      </c>
      <c r="B43" s="110" t="s">
        <v>245</v>
      </c>
      <c r="C43" s="109">
        <v>2.8812861674051463E-2</v>
      </c>
      <c r="D43" s="107" cm="1">
        <f t="array" ref="D43">(Table684[[#This Row],[Ιαν-21]]*(1+Table6[[#This Row],[Ιαν-21]]))/SUMPRODUCT(C$2:C$49,(1+'Monthly Returns'!C$2:C$49))</f>
        <v>2.8736724320968729E-2</v>
      </c>
      <c r="E43" s="107" cm="1">
        <f t="array" ref="E43">(Table684[[#This Row],[Φεβ-21]]*(1+Table6[[#This Row],[Φεβ-21]]))/SUMPRODUCT(D$2:D$49,(1+'Monthly Returns'!D$2:D$49))</f>
        <v>2.9300965933801878E-2</v>
      </c>
      <c r="F43" s="107" cm="1">
        <f t="array" ref="F43">(Table684[[#This Row],[Μαρ-21]]*(1+Table6[[#This Row],[Μαρ-21]]))/SUMPRODUCT(E$2:E$49,(1+'Monthly Returns'!E$2:E$49))</f>
        <v>2.8701752557263129E-2</v>
      </c>
      <c r="G43" s="107" cm="1">
        <f t="array" ref="G43">(Table684[[#This Row],[Απρ-21]]*(1+Table6[[#This Row],[Απρ-21]]))/SUMPRODUCT(F$2:F$49,(1+'Monthly Returns'!F$2:F$49))</f>
        <v>2.6722361958729988E-2</v>
      </c>
      <c r="H43" s="109">
        <v>2.8812861674051463E-2</v>
      </c>
      <c r="I43" s="107" cm="1">
        <f t="array" ref="I43">(Table684[[#This Row],[Ιουν-21]]*(1+Table6[[#This Row],[Ιουν-21]]))/SUMPRODUCT(H$2:H$49,(1+'Monthly Returns'!H$2:H$49))</f>
        <v>2.8275910336490417E-2</v>
      </c>
      <c r="J43" s="107" cm="1">
        <f t="array" ref="J43">(Table684[[#This Row],[Ιουλ-21]]*(1+Table6[[#This Row],[Ιουλ-21]]))/SUMPRODUCT(I$2:I$49,(1+'Monthly Returns'!I$2:I$49))</f>
        <v>2.7820141600978988E-2</v>
      </c>
      <c r="K43" s="107" cm="1">
        <f t="array" ref="K43">(Table684[[#This Row],[Αυγ-21]]*(1+Table6[[#This Row],[Αυγ-21]]))/SUMPRODUCT(J$2:J$49,(1+'Monthly Returns'!J$2:J$49))</f>
        <v>2.6819949912116683E-2</v>
      </c>
      <c r="L43" s="107" cm="1">
        <f t="array" ref="L43">(Table684[[#This Row],[Σεπ-21]]*(1+Table6[[#This Row],[Σεπ-21]]))/SUMPRODUCT(K$2:K$49,(1+'Monthly Returns'!K$2:K$49))</f>
        <v>2.7590044086503365E-2</v>
      </c>
      <c r="M43" s="107" cm="1">
        <f t="array" ref="M43">(Table684[[#This Row],[Οκτ-21]]*(1+Table6[[#This Row],[Οκτ-21]]))/SUMPRODUCT(L$2:L$49,(1+'Monthly Returns'!L$2:L$49))</f>
        <v>2.4965331010695063E-2</v>
      </c>
      <c r="N43" s="107" cm="1">
        <f t="array" ref="N43">(Table684[[#This Row],[Νοε-21]]*(1+Table6[[#This Row],[Νοε-21]]))/SUMPRODUCT(M$2:M$49,(1+'Monthly Returns'!M$2:M$49))</f>
        <v>2.4144970887701716E-2</v>
      </c>
      <c r="O43" s="109">
        <v>2.8812861674051463E-2</v>
      </c>
      <c r="P43" s="107" cm="1">
        <f t="array" ref="P43">(O43*(1+Table6[[#This Row],[Ιαν-22]]))/SUMPRODUCT(O$2:O$49,(1+'Monthly Returns'!O$2:O$49))</f>
        <v>3.1761020485617783E-2</v>
      </c>
      <c r="Q43" s="107" cm="1">
        <f t="array" ref="Q43">(P43*(1+Table6[[#This Row],[Φεβ-22]]))/SUMPRODUCT(P$2:P$49,(1+'Monthly Returns'!P$2:P$49))</f>
        <v>2.8900997448684466E-2</v>
      </c>
      <c r="R43" s="107" cm="1">
        <f t="array" ref="R43">(Q43*(1+Table6[[#This Row],[Μαρ-22]]))/SUMPRODUCT(Q$2:Q$49,(1+'Monthly Returns'!Q$2:Q$49))</f>
        <v>2.4868645071775088E-2</v>
      </c>
      <c r="S43" s="107" cm="1">
        <f t="array" ref="S43">(R43*(1+Table6[[#This Row],[Απρ-22]]))/SUMPRODUCT(R$2:R$49,(1+'Monthly Returns'!R$2:R$49))</f>
        <v>2.4014495825910788E-2</v>
      </c>
      <c r="T43" s="109">
        <v>2.8812861674051463E-2</v>
      </c>
      <c r="U43" s="107" cm="1">
        <f t="array" ref="U43">(T43*(1+Table6[[#This Row],[Ιουν-22]]))/SUMPRODUCT(T$2:T$49,(1+'Monthly Returns'!T$2:T$49))</f>
        <v>2.5331727416531346E-2</v>
      </c>
      <c r="V43" s="107" cm="1">
        <f t="array" ref="V43">(U43*(1+Table6[[#This Row],[Ιουλ-22]]))/SUMPRODUCT(U$2:U$49,(1+'Monthly Returns'!U$2:U$49))</f>
        <v>2.4950424961052986E-2</v>
      </c>
      <c r="W43" s="107" cm="1">
        <f t="array" ref="W43">(V43*(1+Table6[[#This Row],[Αυγ-22]]))/SUMPRODUCT(V$2:V$49,(1+'Monthly Returns'!V$2:V$49))</f>
        <v>2.5478135203403581E-2</v>
      </c>
      <c r="X43" s="107" cm="1">
        <f t="array" ref="X43">(W43*(1+Table6[[#This Row],[Σεπ-22]]))/SUMPRODUCT(W$2:W$49,(1+'Monthly Returns'!W$2:W$49))</f>
        <v>2.5303961414144812E-2</v>
      </c>
      <c r="Y43" s="107" cm="1">
        <f t="array" ref="Y43">(X43*(1+Table6[[#This Row],[Οκτ-22]]))/SUMPRODUCT(X$2:X$49,(1+'Monthly Returns'!X$2:X$49))</f>
        <v>2.7024294288769676E-2</v>
      </c>
      <c r="Z43" s="107" cm="1">
        <f t="array" ref="Z43">(Y43*(1+Table6[[#This Row],[Νοε-22]]))/SUMPRODUCT(Y$2:Y$49,(1+'Monthly Returns'!Y$2:Y$49))</f>
        <v>2.6780432107150681E-2</v>
      </c>
      <c r="AA43" s="109">
        <v>2.8812861674051463E-2</v>
      </c>
      <c r="AB43" s="107" cm="1">
        <f t="array" ref="AB43">(AA43*(1+Table6[[#This Row],[Ιαν-23]]))/SUMPRODUCT(AA$2:AA$49,(1+'Monthly Returns'!AA$2:AA$49))</f>
        <v>2.9843591278457478E-2</v>
      </c>
      <c r="AC43" s="107" cm="1">
        <f t="array" ref="AC43">(AB43*(1+Table6[[#This Row],[Φεβ-23]]))/SUMPRODUCT(AB$2:AB$49,(1+'Monthly Returns'!AB$2:AB$49))</f>
        <v>2.7126582992452349E-2</v>
      </c>
      <c r="AD43" s="107" cm="1">
        <f t="array" ref="AD43">(AC43*(1+Table6[[#This Row],[Μαρ-23]]))/SUMPRODUCT(AC$2:AC$49,(1+'Monthly Returns'!AC$2:AC$49))</f>
        <v>2.6950136434051124E-2</v>
      </c>
      <c r="AE43" s="107" cm="1">
        <f t="array" ref="AE43">(AD43*(1+Table6[[#This Row],[Απρ-23]]))/SUMPRODUCT(AD$2:AD$49,(1+'Monthly Returns'!AD$2:AD$49))</f>
        <v>2.5406216270993123E-2</v>
      </c>
      <c r="AF43" s="109">
        <v>2.8812861674051463E-2</v>
      </c>
      <c r="AG43" s="107" cm="1">
        <f t="array" ref="AG43">(AF43*(1+Table6[[#This Row],[Ιουν-23]]))/SUMPRODUCT(AF$2:AF$49,(1+'Monthly Returns'!AF$2:AF$49))</f>
        <v>2.7964592086145223E-2</v>
      </c>
      <c r="AH43" s="107" cm="1">
        <f t="array" ref="AH43">(AG43*(1+Table6[[#This Row],[Ιουλ-23]]))/SUMPRODUCT(AG$2:AG$49,(1+'Monthly Returns'!AG$2:AG$49))</f>
        <v>3.0045981530588985E-2</v>
      </c>
      <c r="AI43" s="107" cm="1">
        <f t="array" ref="AI43">(AH43*(1+Table6[[#This Row],[Αυγ-23]]))/SUMPRODUCT(AH$2:AH$49,(1+'Monthly Returns'!AH$2:AH$49))</f>
        <v>2.938422958787576E-2</v>
      </c>
      <c r="AJ43" s="107" cm="1">
        <f t="array" ref="AJ43">(AI43*(1+Table6[[#This Row],[Σεπ-23]]))/SUMPRODUCT(AI$2:AI$49,(1+'Monthly Returns'!AI$2:AI$49))</f>
        <v>2.737620469193925E-2</v>
      </c>
      <c r="AK43" s="107" cm="1">
        <f t="array" ref="AK43">(AJ43*(1+Table6[[#This Row],[Οκτ-23]]))/SUMPRODUCT(AJ$2:AJ$49,(1+'Monthly Returns'!AJ$2:AJ$49))</f>
        <v>2.887495581224591E-2</v>
      </c>
      <c r="AL43" s="107" cm="1">
        <f t="array" ref="AL43">(AK43*(1+Table6[[#This Row],[Νοε-23]]))/SUMPRODUCT(AK$2:AK$49,(1+'Monthly Returns'!AK$2:AK$49))</f>
        <v>2.6025914661436309E-2</v>
      </c>
      <c r="AM43" s="109">
        <v>2.8812861674051463E-2</v>
      </c>
      <c r="AN43" s="107" cm="1">
        <f t="array" ref="AN43">(AM43*(1+Table6[[#This Row],[Ιαν-24]]))/SUMPRODUCT(AM$2:AM$49,(1+'Monthly Returns'!AM$2:AM$49))</f>
        <v>2.5817579645144272E-2</v>
      </c>
      <c r="AO43" s="107" cm="1">
        <f t="array" ref="AO43">(AN43*(1+Table6[[#This Row],[Φεβ-24]]))/SUMPRODUCT(AN$2:AN$49,(1+'Monthly Returns'!AN$2:AN$49))</f>
        <v>2.6422188313374343E-2</v>
      </c>
      <c r="AP43" s="107" cm="1">
        <f t="array" ref="AP43">(AO43*(1+Table6[[#This Row],[Μαρ-24]]))/SUMPRODUCT(AO$2:AO$49,(1+'Monthly Returns'!AO$2:AO$49))</f>
        <v>2.8156079187693531E-2</v>
      </c>
      <c r="AQ43" s="107" cm="1">
        <f t="array" ref="AQ43">(AP43*(1+Table6[[#This Row],[Απρ-24]]))/SUMPRODUCT(AP$2:AP$49,(1+'Monthly Returns'!AP$2:AP$49))</f>
        <v>2.6205487830935122E-2</v>
      </c>
      <c r="AR43" s="109">
        <v>2.8812861674051463E-2</v>
      </c>
      <c r="AS43" s="107" cm="1">
        <f t="array" ref="AS43">(AR43*(1+Table6[[#This Row],[Ιουν-24]]))/SUMPRODUCT(AR$2:AR$49,(1+'Monthly Returns'!AR$2:AR$49))</f>
        <v>2.7209372190270115E-2</v>
      </c>
      <c r="AT43" s="107" cm="1">
        <f t="array" ref="AT43">(AS43*(1+Table6[[#This Row],[Ιουλ-24]]))/SUMPRODUCT(AS$2:AS$49,(1+'Monthly Returns'!AS$2:AS$49))</f>
        <v>2.5246904363528E-2</v>
      </c>
      <c r="AU43" s="107" cm="1">
        <f t="array" ref="AU43">(AT43*(1+Table6[[#This Row],[Αυγ-24]]))/SUMPRODUCT(AT$2:AT$49,(1+'Monthly Returns'!AT$2:AT$49))</f>
        <v>2.6148667162104986E-2</v>
      </c>
      <c r="AV43" s="107" cm="1">
        <f t="array" ref="AV43">(AU43*(1+Table6[[#This Row],[Σεπ-24]]))/SUMPRODUCT(AU$2:AU$49,(1+'Monthly Returns'!AU$2:AU$49))</f>
        <v>2.7124000538867887E-2</v>
      </c>
      <c r="AW43" s="107" cm="1">
        <f t="array" ref="AW43">(AV43*(1+Table6[[#This Row],[Οκτ-24]]))/SUMPRODUCT(AV$2:AV$49,(1+'Monthly Returns'!AV$2:AV$49))</f>
        <v>2.6044633312133691E-2</v>
      </c>
      <c r="AX43" s="107" cm="1">
        <f t="array" ref="AX43">(AW43*(1+Table6[[#This Row],[Νοε-24]]))/SUMPRODUCT(AW$2:AW$49,(1+'Monthly Returns'!AW$2:AW$49))</f>
        <v>2.4304221492161514E-2</v>
      </c>
      <c r="AY43" s="109">
        <v>2.8812861674051463E-2</v>
      </c>
      <c r="AZ43" s="107" cm="1">
        <f t="array" ref="AZ43">(AY43*(1+Table6[[#This Row],[Ιαν-25]]))/SUMPRODUCT(AY$2:AY$49,(1+'Monthly Returns'!AY$2:AY$49))</f>
        <v>2.9387270575975191E-2</v>
      </c>
      <c r="BA43" s="107" cm="1">
        <f t="array" ref="BA43">(AZ43*(1+Table6[[#This Row],[Φεβ-25]]))/SUMPRODUCT(AZ$2:AZ$49,(1+'Monthly Returns'!AZ$2:AZ$49))</f>
        <v>2.9544808342355216E-2</v>
      </c>
      <c r="BB43" s="107" cm="1">
        <f t="array" ref="BB43">(BA43*(1+Table6[[#This Row],[Μαρ-25]]))/SUMPRODUCT(BA$2:BA$49,(1+'Monthly Returns'!BA$2:BA$49))</f>
        <v>2.8188598872237614E-2</v>
      </c>
      <c r="BC43" s="107" cm="1">
        <f t="array" ref="BC43">(BB43*(1+Table6[[#This Row],[Απρ-25]]))/SUMPRODUCT(BB$2:BB$49,(1+'Monthly Returns'!BB$2:BB$49))</f>
        <v>2.7203929141339341E-2</v>
      </c>
      <c r="BD43" s="109">
        <v>2.8812861674051463E-2</v>
      </c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</row>
    <row r="44" spans="1:92">
      <c r="A44" s="110" t="s">
        <v>247</v>
      </c>
      <c r="B44" s="110" t="s">
        <v>248</v>
      </c>
      <c r="C44" s="109">
        <v>1.2590494176896439E-3</v>
      </c>
      <c r="D44" s="107" cm="1">
        <f t="array" ref="D44">(Table684[[#This Row],[Ιαν-21]]*(1+Table6[[#This Row],[Ιαν-21]]))/SUMPRODUCT(C$2:C$49,(1+'Monthly Returns'!C$2:C$49))</f>
        <v>1.180285419771155E-3</v>
      </c>
      <c r="E44" s="107" cm="1">
        <f t="array" ref="E44">(Table684[[#This Row],[Φεβ-21]]*(1+Table6[[#This Row],[Φεβ-21]]))/SUMPRODUCT(D$2:D$49,(1+'Monthly Returns'!D$2:D$49))</f>
        <v>9.8173151943770857E-4</v>
      </c>
      <c r="F44" s="107" cm="1">
        <f t="array" ref="F44">(Table684[[#This Row],[Μαρ-21]]*(1+Table6[[#This Row],[Μαρ-21]]))/SUMPRODUCT(E$2:E$49,(1+'Monthly Returns'!E$2:E$49))</f>
        <v>1.036664643604435E-3</v>
      </c>
      <c r="G44" s="107" cm="1">
        <f t="array" ref="G44">(Table684[[#This Row],[Απρ-21]]*(1+Table6[[#This Row],[Απρ-21]]))/SUMPRODUCT(F$2:F$49,(1+'Monthly Returns'!F$2:F$49))</f>
        <v>1.0177433676024571E-3</v>
      </c>
      <c r="H44" s="109">
        <v>1.2590494176896439E-3</v>
      </c>
      <c r="I44" s="107" cm="1">
        <f t="array" ref="I44">(Table684[[#This Row],[Ιουν-21]]*(1+Table6[[#This Row],[Ιουν-21]]))/SUMPRODUCT(H$2:H$49,(1+'Monthly Returns'!H$2:H$49))</f>
        <v>1.2815784364293783E-3</v>
      </c>
      <c r="J44" s="107" cm="1">
        <f t="array" ref="J44">(Table684[[#This Row],[Ιουλ-21]]*(1+Table6[[#This Row],[Ιουλ-21]]))/SUMPRODUCT(I$2:I$49,(1+'Monthly Returns'!I$2:I$49))</f>
        <v>1.1945171110285596E-3</v>
      </c>
      <c r="K44" s="107" cm="1">
        <f t="array" ref="K44">(Table684[[#This Row],[Αυγ-21]]*(1+Table6[[#This Row],[Αυγ-21]]))/SUMPRODUCT(J$2:J$49,(1+'Monthly Returns'!J$2:J$49))</f>
        <v>1.2804951261917888E-3</v>
      </c>
      <c r="L44" s="107" cm="1">
        <f t="array" ref="L44">(Table684[[#This Row],[Σεπ-21]]*(1+Table6[[#This Row],[Σεπ-21]]))/SUMPRODUCT(K$2:K$49,(1+'Monthly Returns'!K$2:K$49))</f>
        <v>1.327175617355169E-3</v>
      </c>
      <c r="M44" s="107" cm="1">
        <f t="array" ref="M44">(Table684[[#This Row],[Οκτ-21]]*(1+Table6[[#This Row],[Οκτ-21]]))/SUMPRODUCT(L$2:L$49,(1+'Monthly Returns'!L$2:L$49))</f>
        <v>1.3718451096694545E-3</v>
      </c>
      <c r="N44" s="107" cm="1">
        <f t="array" ref="N44">(Table684[[#This Row],[Νοε-21]]*(1+Table6[[#This Row],[Νοε-21]]))/SUMPRODUCT(M$2:M$49,(1+'Monthly Returns'!M$2:M$49))</f>
        <v>1.1289668216556601E-3</v>
      </c>
      <c r="O44" s="109">
        <v>1.2590494176896439E-3</v>
      </c>
      <c r="P44" s="107" cm="1">
        <f t="array" ref="P44">(O44*(1+Table6[[#This Row],[Ιαν-22]]))/SUMPRODUCT(O$2:O$49,(1+'Monthly Returns'!O$2:O$49))</f>
        <v>1.1228372479415063E-3</v>
      </c>
      <c r="Q44" s="107" cm="1">
        <f t="array" ref="Q44">(P44*(1+Table6[[#This Row],[Φεβ-22]]))/SUMPRODUCT(P$2:P$49,(1+'Monthly Returns'!P$2:P$49))</f>
        <v>1.431903538971816E-3</v>
      </c>
      <c r="R44" s="107" cm="1">
        <f t="array" ref="R44">(Q44*(1+Table6[[#This Row],[Μαρ-22]]))/SUMPRODUCT(Q$2:Q$49,(1+'Monthly Returns'!Q$2:Q$49))</f>
        <v>1.2951847619074007E-3</v>
      </c>
      <c r="S44" s="107" cm="1">
        <f t="array" ref="S44">(R44*(1+Table6[[#This Row],[Απρ-22]]))/SUMPRODUCT(R$2:R$49,(1+'Monthly Returns'!R$2:R$49))</f>
        <v>1.1773490839512891E-3</v>
      </c>
      <c r="T44" s="109">
        <v>1.2590494176896439E-3</v>
      </c>
      <c r="U44" s="107" cm="1">
        <f t="array" ref="U44">(T44*(1+Table6[[#This Row],[Ιουν-22]]))/SUMPRODUCT(T$2:T$49,(1+'Monthly Returns'!T$2:T$49))</f>
        <v>1.1579141980752712E-3</v>
      </c>
      <c r="V44" s="107" cm="1">
        <f t="array" ref="V44">(U44*(1+Table6[[#This Row],[Ιουλ-22]]))/SUMPRODUCT(U$2:U$49,(1+'Monthly Returns'!U$2:U$49))</f>
        <v>1.3778346142019051E-3</v>
      </c>
      <c r="W44" s="107" cm="1">
        <f t="array" ref="W44">(V44*(1+Table6[[#This Row],[Αυγ-22]]))/SUMPRODUCT(V$2:V$49,(1+'Monthly Returns'!V$2:V$49))</f>
        <v>1.4294527210424262E-3</v>
      </c>
      <c r="X44" s="107" cm="1">
        <f t="array" ref="X44">(W44*(1+Table6[[#This Row],[Σεπ-22]]))/SUMPRODUCT(W$2:W$49,(1+'Monthly Returns'!W$2:W$49))</f>
        <v>1.1462559230068015E-3</v>
      </c>
      <c r="Y44" s="107" cm="1">
        <f t="array" ref="Y44">(X44*(1+Table6[[#This Row],[Οκτ-22]]))/SUMPRODUCT(X$2:X$49,(1+'Monthly Returns'!X$2:X$49))</f>
        <v>1.1165838035980843E-3</v>
      </c>
      <c r="Z44" s="107" cm="1">
        <f t="array" ref="Z44">(Y44*(1+Table6[[#This Row],[Νοε-22]]))/SUMPRODUCT(Y$2:Y$49,(1+'Monthly Returns'!Y$2:Y$49))</f>
        <v>1.2544972359238749E-3</v>
      </c>
      <c r="AA44" s="109">
        <v>1.2590494176896439E-3</v>
      </c>
      <c r="AB44" s="107" cm="1">
        <f t="array" ref="AB44">(AA44*(1+Table6[[#This Row],[Ιαν-23]]))/SUMPRODUCT(AA$2:AA$49,(1+'Monthly Returns'!AA$2:AA$49))</f>
        <v>1.1351216870324409E-3</v>
      </c>
      <c r="AC44" s="107" cm="1">
        <f t="array" ref="AC44">(AB44*(1+Table6[[#This Row],[Φεβ-23]]))/SUMPRODUCT(AB$2:AB$49,(1+'Monthly Returns'!AB$2:AB$49))</f>
        <v>1.1249128088039924E-3</v>
      </c>
      <c r="AD44" s="107" cm="1">
        <f t="array" ref="AD44">(AC44*(1+Table6[[#This Row],[Μαρ-23]]))/SUMPRODUCT(AC$2:AC$49,(1+'Monthly Returns'!AC$2:AC$49))</f>
        <v>1.1106192046970373E-3</v>
      </c>
      <c r="AE44" s="107" cm="1">
        <f t="array" ref="AE44">(AD44*(1+Table6[[#This Row],[Απρ-23]]))/SUMPRODUCT(AD$2:AD$49,(1+'Monthly Returns'!AD$2:AD$49))</f>
        <v>1.0117880256788362E-3</v>
      </c>
      <c r="AF44" s="109">
        <v>1.2590494176896439E-3</v>
      </c>
      <c r="AG44" s="107" cm="1">
        <f t="array" ref="AG44">(AF44*(1+Table6[[#This Row],[Ιουν-23]]))/SUMPRODUCT(AF$2:AF$49,(1+'Monthly Returns'!AF$2:AF$49))</f>
        <v>1.1167308197603172E-3</v>
      </c>
      <c r="AH44" s="107" cm="1">
        <f t="array" ref="AH44">(AG44*(1+Table6[[#This Row],[Ιουλ-23]]))/SUMPRODUCT(AG$2:AG$49,(1+'Monthly Returns'!AG$2:AG$49))</f>
        <v>1.0941685067043618E-3</v>
      </c>
      <c r="AI44" s="107" cm="1">
        <f t="array" ref="AI44">(AH44*(1+Table6[[#This Row],[Αυγ-23]]))/SUMPRODUCT(AH$2:AH$49,(1+'Monthly Returns'!AH$2:AH$49))</f>
        <v>9.761558076240909E-4</v>
      </c>
      <c r="AJ44" s="107" cm="1">
        <f t="array" ref="AJ44">(AI44*(1+Table6[[#This Row],[Σεπ-23]]))/SUMPRODUCT(AI$2:AI$49,(1+'Monthly Returns'!AI$2:AI$49))</f>
        <v>9.438959344504616E-4</v>
      </c>
      <c r="AK44" s="107" cm="1">
        <f t="array" ref="AK44">(AJ44*(1+Table6[[#This Row],[Οκτ-23]]))/SUMPRODUCT(AJ$2:AJ$49,(1+'Monthly Returns'!AJ$2:AJ$49))</f>
        <v>9.8592530866929706E-4</v>
      </c>
      <c r="AL44" s="107" cm="1">
        <f t="array" ref="AL44">(AK44*(1+Table6[[#This Row],[Νοε-23]]))/SUMPRODUCT(AK$2:AK$49,(1+'Monthly Returns'!AK$2:AK$49))</f>
        <v>1.129573632792458E-3</v>
      </c>
      <c r="AM44" s="109">
        <v>1.2590494176896439E-3</v>
      </c>
      <c r="AN44" s="107" cm="1">
        <f t="array" ref="AN44">(AM44*(1+Table6[[#This Row],[Ιαν-24]]))/SUMPRODUCT(AM$2:AM$49,(1+'Monthly Returns'!AM$2:AM$49))</f>
        <v>1.1359127571401242E-3</v>
      </c>
      <c r="AO44" s="107" cm="1">
        <f t="array" ref="AO44">(AN44*(1+Table6[[#This Row],[Φεβ-24]]))/SUMPRODUCT(AN$2:AN$49,(1+'Monthly Returns'!AN$2:AN$49))</f>
        <v>1.0715863734921459E-3</v>
      </c>
      <c r="AP44" s="107" cm="1">
        <f t="array" ref="AP44">(AO44*(1+Table6[[#This Row],[Μαρ-24]]))/SUMPRODUCT(AO$2:AO$49,(1+'Monthly Returns'!AO$2:AO$49))</f>
        <v>1.02066934981463E-3</v>
      </c>
      <c r="AQ44" s="107" cm="1">
        <f t="array" ref="AQ44">(AP44*(1+Table6[[#This Row],[Απρ-24]]))/SUMPRODUCT(AP$2:AP$49,(1+'Monthly Returns'!AP$2:AP$49))</f>
        <v>9.984668499350717E-4</v>
      </c>
      <c r="AR44" s="109">
        <v>1.2590494176896439E-3</v>
      </c>
      <c r="AS44" s="107" cm="1">
        <f t="array" ref="AS44">(AR44*(1+Table6[[#This Row],[Ιουν-24]]))/SUMPRODUCT(AR$2:AR$49,(1+'Monthly Returns'!AR$2:AR$49))</f>
        <v>1.0653143972170732E-3</v>
      </c>
      <c r="AT44" s="107" cm="1">
        <f t="array" ref="AT44">(AS44*(1+Table6[[#This Row],[Ιουλ-24]]))/SUMPRODUCT(AS$2:AS$49,(1+'Monthly Returns'!AS$2:AS$49))</f>
        <v>1.0935010615162756E-3</v>
      </c>
      <c r="AU44" s="107" cm="1">
        <f t="array" ref="AU44">(AT44*(1+Table6[[#This Row],[Αυγ-24]]))/SUMPRODUCT(AT$2:AT$49,(1+'Monthly Returns'!AT$2:AT$49))</f>
        <v>9.6891945378040068E-4</v>
      </c>
      <c r="AV44" s="107" cm="1">
        <f t="array" ref="AV44">(AU44*(1+Table6[[#This Row],[Σεπ-24]]))/SUMPRODUCT(AU$2:AU$49,(1+'Monthly Returns'!AU$2:AU$49))</f>
        <v>9.2561275519640088E-4</v>
      </c>
      <c r="AW44" s="107" cm="1">
        <f t="array" ref="AW44">(AV44*(1+Table6[[#This Row],[Οκτ-24]]))/SUMPRODUCT(AV$2:AV$49,(1+'Monthly Returns'!AV$2:AV$49))</f>
        <v>8.2600490825828269E-4</v>
      </c>
      <c r="AX44" s="107" cm="1">
        <f t="array" ref="AX44">(AW44*(1+Table6[[#This Row],[Νοε-24]]))/SUMPRODUCT(AW$2:AW$49,(1+'Monthly Returns'!AW$2:AW$49))</f>
        <v>6.8947113258782558E-4</v>
      </c>
      <c r="AY44" s="109">
        <v>1.2590494176896439E-3</v>
      </c>
      <c r="AZ44" s="107" cm="1">
        <f t="array" ref="AZ44">(AY44*(1+Table6[[#This Row],[Ιαν-25]]))/SUMPRODUCT(AY$2:AY$49,(1+'Monthly Returns'!AY$2:AY$49))</f>
        <v>1.1792886956481913E-3</v>
      </c>
      <c r="BA44" s="107" cm="1">
        <f t="array" ref="BA44">(AZ44*(1+Table6[[#This Row],[Φεβ-25]]))/SUMPRODUCT(AZ$2:AZ$49,(1+'Monthly Returns'!AZ$2:AZ$49))</f>
        <v>1.1516047924255192E-3</v>
      </c>
      <c r="BB44" s="107" cm="1">
        <f t="array" ref="BB44">(BA44*(1+Table6[[#This Row],[Μαρ-25]]))/SUMPRODUCT(BA$2:BA$49,(1+'Monthly Returns'!BA$2:BA$49))</f>
        <v>1.1023522589498438E-3</v>
      </c>
      <c r="BC44" s="107" cm="1">
        <f t="array" ref="BC44">(BB44*(1+Table6[[#This Row],[Απρ-25]]))/SUMPRODUCT(BB$2:BB$49,(1+'Monthly Returns'!BB$2:BB$49))</f>
        <v>1.0114023179232045E-3</v>
      </c>
      <c r="BD44" s="109">
        <v>1.2590494176896439E-3</v>
      </c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</row>
    <row r="45" spans="1:92">
      <c r="A45" s="110" t="s">
        <v>176</v>
      </c>
      <c r="B45" s="111" t="s">
        <v>177</v>
      </c>
      <c r="C45" s="109">
        <v>2.6506384738346076E-2</v>
      </c>
      <c r="D45" s="107" cm="1">
        <f t="array" ref="D45">(Table684[[#This Row],[Ιαν-21]]*(1+Table6[[#This Row],[Ιαν-21]]))/SUMPRODUCT(C$2:C$49,(1+'Monthly Returns'!C$2:C$49))</f>
        <v>2.5976678694922466E-2</v>
      </c>
      <c r="E45" s="107" cm="1">
        <f t="array" ref="E45">(Table684[[#This Row],[Φεβ-21]]*(1+Table6[[#This Row],[Φεβ-21]]))/SUMPRODUCT(D$2:D$49,(1+'Monthly Returns'!D$2:D$49))</f>
        <v>2.3266688488677047E-2</v>
      </c>
      <c r="F45" s="107" cm="1">
        <f t="array" ref="F45">(Table684[[#This Row],[Μαρ-21]]*(1+Table6[[#This Row],[Μαρ-21]]))/SUMPRODUCT(E$2:E$49,(1+'Monthly Returns'!E$2:E$49))</f>
        <v>2.2960458529630728E-2</v>
      </c>
      <c r="G45" s="107" cm="1">
        <f t="array" ref="G45">(Table684[[#This Row],[Απρ-21]]*(1+Table6[[#This Row],[Απρ-21]]))/SUMPRODUCT(F$2:F$49,(1+'Monthly Returns'!F$2:F$49))</f>
        <v>2.3089961090827723E-2</v>
      </c>
      <c r="H45" s="109">
        <v>2.6506384738346076E-2</v>
      </c>
      <c r="I45" s="107" cm="1">
        <f t="array" ref="I45">(Table684[[#This Row],[Ιουν-21]]*(1+Table6[[#This Row],[Ιουν-21]]))/SUMPRODUCT(H$2:H$49,(1+'Monthly Returns'!H$2:H$49))</f>
        <v>2.4402144551011567E-2</v>
      </c>
      <c r="J45" s="107" cm="1">
        <f t="array" ref="J45">(Table684[[#This Row],[Ιουλ-21]]*(1+Table6[[#This Row],[Ιουλ-21]]))/SUMPRODUCT(I$2:I$49,(1+'Monthly Returns'!I$2:I$49))</f>
        <v>2.4387277473022651E-2</v>
      </c>
      <c r="K45" s="107" cm="1">
        <f t="array" ref="K45">(Table684[[#This Row],[Αυγ-21]]*(1+Table6[[#This Row],[Αυγ-21]]))/SUMPRODUCT(J$2:J$49,(1+'Monthly Returns'!J$2:J$49))</f>
        <v>2.4545820562649534E-2</v>
      </c>
      <c r="L45" s="107" cm="1">
        <f t="array" ref="L45">(Table684[[#This Row],[Σεπ-21]]*(1+Table6[[#This Row],[Σεπ-21]]))/SUMPRODUCT(K$2:K$49,(1+'Monthly Returns'!K$2:K$49))</f>
        <v>2.0787660389307676E-2</v>
      </c>
      <c r="M45" s="107" cm="1">
        <f t="array" ref="M45">(Table684[[#This Row],[Οκτ-21]]*(1+Table6[[#This Row],[Οκτ-21]]))/SUMPRODUCT(L$2:L$49,(1+'Monthly Returns'!L$2:L$49))</f>
        <v>2.3394610540855704E-2</v>
      </c>
      <c r="N45" s="107" cm="1">
        <f t="array" ref="N45">(Table684[[#This Row],[Νοε-21]]*(1+Table6[[#This Row],[Νοε-21]]))/SUMPRODUCT(M$2:M$49,(1+'Monthly Returns'!M$2:M$49))</f>
        <v>2.3605753373821856E-2</v>
      </c>
      <c r="O45" s="109">
        <v>2.6506384738346076E-2</v>
      </c>
      <c r="P45" s="107" cm="1">
        <f t="array" ref="P45">(O45*(1+Table6[[#This Row],[Ιαν-22]]))/SUMPRODUCT(O$2:O$49,(1+'Monthly Returns'!O$2:O$49))</f>
        <v>2.6531437249913789E-2</v>
      </c>
      <c r="Q45" s="107" cm="1">
        <f t="array" ref="Q45">(P45*(1+Table6[[#This Row],[Φεβ-22]]))/SUMPRODUCT(P$2:P$49,(1+'Monthly Returns'!P$2:P$49))</f>
        <v>2.7567092356298527E-2</v>
      </c>
      <c r="R45" s="107" cm="1">
        <f t="array" ref="R45">(Q45*(1+Table6[[#This Row],[Μαρ-22]]))/SUMPRODUCT(Q$2:Q$49,(1+'Monthly Returns'!Q$2:Q$49))</f>
        <v>2.6460995817469173E-2</v>
      </c>
      <c r="S45" s="107" cm="1">
        <f t="array" ref="S45">(R45*(1+Table6[[#This Row],[Απρ-22]]))/SUMPRODUCT(R$2:R$49,(1+'Monthly Returns'!R$2:R$49))</f>
        <v>2.9119838023626981E-2</v>
      </c>
      <c r="T45" s="109">
        <v>2.6506384738346076E-2</v>
      </c>
      <c r="U45" s="107" cm="1">
        <f t="array" ref="U45">(T45*(1+Table6[[#This Row],[Ιουν-22]]))/SUMPRODUCT(T$2:T$49,(1+'Monthly Returns'!T$2:T$49))</f>
        <v>2.5825053634820884E-2</v>
      </c>
      <c r="V45" s="107" cm="1">
        <f t="array" ref="V45">(U45*(1+Table6[[#This Row],[Ιουλ-22]]))/SUMPRODUCT(U$2:U$49,(1+'Monthly Returns'!U$2:U$49))</f>
        <v>2.6338572392669575E-2</v>
      </c>
      <c r="W45" s="107" cm="1">
        <f t="array" ref="W45">(V45*(1+Table6[[#This Row],[Αυγ-22]]))/SUMPRODUCT(V$2:V$49,(1+'Monthly Returns'!V$2:V$49))</f>
        <v>2.7636161563651878E-2</v>
      </c>
      <c r="X45" s="107" cm="1">
        <f t="array" ref="X45">(W45*(1+Table6[[#This Row],[Σεπ-22]]))/SUMPRODUCT(W$2:W$49,(1+'Monthly Returns'!W$2:W$49))</f>
        <v>2.6905213855434519E-2</v>
      </c>
      <c r="Y45" s="107" cm="1">
        <f t="array" ref="Y45">(X45*(1+Table6[[#This Row],[Οκτ-22]]))/SUMPRODUCT(X$2:X$49,(1+'Monthly Returns'!X$2:X$49))</f>
        <v>2.6854882274593411E-2</v>
      </c>
      <c r="Z45" s="107" cm="1">
        <f t="array" ref="Z45">(Y45*(1+Table6[[#This Row],[Νοε-22]]))/SUMPRODUCT(Y$2:Y$49,(1+'Monthly Returns'!Y$2:Y$49))</f>
        <v>2.6146758468706302E-2</v>
      </c>
      <c r="AA45" s="109">
        <v>2.6506384738346076E-2</v>
      </c>
      <c r="AB45" s="107" cm="1">
        <f t="array" ref="AB45">(AA45*(1+Table6[[#This Row],[Ιαν-23]]))/SUMPRODUCT(AA$2:AA$49,(1+'Monthly Returns'!AA$2:AA$49))</f>
        <v>2.4291124355163552E-2</v>
      </c>
      <c r="AC45" s="107" cm="1">
        <f t="array" ref="AC45">(AB45*(1+Table6[[#This Row],[Φεβ-23]]))/SUMPRODUCT(AB$2:AB$49,(1+'Monthly Returns'!AB$2:AB$49))</f>
        <v>2.4134713913264893E-2</v>
      </c>
      <c r="AD45" s="107" cm="1">
        <f t="array" ref="AD45">(AC45*(1+Table6[[#This Row],[Μαρ-23]]))/SUMPRODUCT(AC$2:AC$49,(1+'Monthly Returns'!AC$2:AC$49))</f>
        <v>2.5407131215012844E-2</v>
      </c>
      <c r="AE45" s="107" cm="1">
        <f t="array" ref="AE45">(AD45*(1+Table6[[#This Row],[Απρ-23]]))/SUMPRODUCT(AD$2:AD$49,(1+'Monthly Returns'!AD$2:AD$49))</f>
        <v>2.5368865016832803E-2</v>
      </c>
      <c r="AF45" s="109">
        <v>2.6506384738346076E-2</v>
      </c>
      <c r="AG45" s="107" cm="1">
        <f t="array" ref="AG45">(AF45*(1+Table6[[#This Row],[Ιουν-23]]))/SUMPRODUCT(AF$2:AF$49,(1+'Monthly Returns'!AF$2:AF$49))</f>
        <v>2.6932662215446299E-2</v>
      </c>
      <c r="AH45" s="107" cm="1">
        <f t="array" ref="AH45">(AG45*(1+Table6[[#This Row],[Ιουλ-23]]))/SUMPRODUCT(AG$2:AG$49,(1+'Monthly Returns'!AG$2:AG$49))</f>
        <v>2.5768449361141997E-2</v>
      </c>
      <c r="AI45" s="107" cm="1">
        <f t="array" ref="AI45">(AH45*(1+Table6[[#This Row],[Αυγ-23]]))/SUMPRODUCT(AH$2:AH$49,(1+'Monthly Returns'!AH$2:AH$49))</f>
        <v>2.5353225640214427E-2</v>
      </c>
      <c r="AJ45" s="107" cm="1">
        <f t="array" ref="AJ45">(AI45*(1+Table6[[#This Row],[Σεπ-23]]))/SUMPRODUCT(AI$2:AI$49,(1+'Monthly Returns'!AI$2:AI$49))</f>
        <v>2.4875610498530164E-2</v>
      </c>
      <c r="AK45" s="107" cm="1">
        <f t="array" ref="AK45">(AJ45*(1+Table6[[#This Row],[Οκτ-23]]))/SUMPRODUCT(AJ$2:AJ$49,(1+'Monthly Returns'!AJ$2:AJ$49))</f>
        <v>2.5651933816847536E-2</v>
      </c>
      <c r="AL45" s="107" cm="1">
        <f t="array" ref="AL45">(AK45*(1+Table6[[#This Row],[Νοε-23]]))/SUMPRODUCT(AK$2:AK$49,(1+'Monthly Returns'!AK$2:AK$49))</f>
        <v>2.5479612456491725E-2</v>
      </c>
      <c r="AM45" s="109">
        <v>2.6506384738346076E-2</v>
      </c>
      <c r="AN45" s="107" cm="1">
        <f t="array" ref="AN45">(AM45*(1+Table6[[#This Row],[Ιαν-24]]))/SUMPRODUCT(AM$2:AM$49,(1+'Monthly Returns'!AM$2:AM$49))</f>
        <v>2.4953766310626856E-2</v>
      </c>
      <c r="AO45" s="107" cm="1">
        <f t="array" ref="AO45">(AN45*(1+Table6[[#This Row],[Φεβ-24]]))/SUMPRODUCT(AN$2:AN$49,(1+'Monthly Returns'!AN$2:AN$49))</f>
        <v>2.2920770918152762E-2</v>
      </c>
      <c r="AP45" s="107" cm="1">
        <f t="array" ref="AP45">(AO45*(1+Table6[[#This Row],[Μαρ-24]]))/SUMPRODUCT(AO$2:AO$49,(1+'Monthly Returns'!AO$2:AO$49))</f>
        <v>2.351304274540806E-2</v>
      </c>
      <c r="AQ45" s="107" cm="1">
        <f t="array" ref="AQ45">(AP45*(1+Table6[[#This Row],[Απρ-24]]))/SUMPRODUCT(AP$2:AP$49,(1+'Monthly Returns'!AP$2:AP$49))</f>
        <v>2.3595398359188953E-2</v>
      </c>
      <c r="AR45" s="109">
        <v>2.6506384738346076E-2</v>
      </c>
      <c r="AS45" s="107" cm="1">
        <f t="array" ref="AS45">(AR45*(1+Table6[[#This Row],[Ιουν-24]]))/SUMPRODUCT(AR$2:AR$49,(1+'Monthly Returns'!AR$2:AR$49))</f>
        <v>2.6849998231337404E-2</v>
      </c>
      <c r="AT45" s="107" cm="1">
        <f t="array" ref="AT45">(AS45*(1+Table6[[#This Row],[Ιουλ-24]]))/SUMPRODUCT(AS$2:AS$49,(1+'Monthly Returns'!AS$2:AS$49))</f>
        <v>2.7032813069968051E-2</v>
      </c>
      <c r="AU45" s="107" cm="1">
        <f t="array" ref="AU45">(AT45*(1+Table6[[#This Row],[Αυγ-24]]))/SUMPRODUCT(AT$2:AT$49,(1+'Monthly Returns'!AT$2:AT$49))</f>
        <v>2.7700824650384204E-2</v>
      </c>
      <c r="AV45" s="107" cm="1">
        <f t="array" ref="AV45">(AU45*(1+Table6[[#This Row],[Σεπ-24]]))/SUMPRODUCT(AU$2:AU$49,(1+'Monthly Returns'!AU$2:AU$49))</f>
        <v>3.0017115411728659E-2</v>
      </c>
      <c r="AW45" s="107" cm="1">
        <f t="array" ref="AW45">(AV45*(1+Table6[[#This Row],[Οκτ-24]]))/SUMPRODUCT(AV$2:AV$49,(1+'Monthly Returns'!AV$2:AV$49))</f>
        <v>3.016096068184964E-2</v>
      </c>
      <c r="AX45" s="107" cm="1">
        <f t="array" ref="AX45">(AW45*(1+Table6[[#This Row],[Νοε-24]]))/SUMPRODUCT(AW$2:AW$49,(1+'Monthly Returns'!AW$2:AW$49))</f>
        <v>2.9284068013554768E-2</v>
      </c>
      <c r="AY45" s="109">
        <v>2.6506384738346076E-2</v>
      </c>
      <c r="AZ45" s="107" cm="1">
        <f t="array" ref="AZ45">(AY45*(1+Table6[[#This Row],[Ιαν-25]]))/SUMPRODUCT(AY$2:AY$49,(1+'Monthly Returns'!AY$2:AY$49))</f>
        <v>2.5689176766475579E-2</v>
      </c>
      <c r="BA45" s="107" cm="1">
        <f t="array" ref="BA45">(AZ45*(1+Table6[[#This Row],[Φεβ-25]]))/SUMPRODUCT(AZ$2:AZ$49,(1+'Monthly Returns'!AZ$2:AZ$49))</f>
        <v>2.5017626611016495E-2</v>
      </c>
      <c r="BB45" s="107" cm="1">
        <f t="array" ref="BB45">(BA45*(1+Table6[[#This Row],[Μαρ-25]]))/SUMPRODUCT(BA$2:BA$49,(1+'Monthly Returns'!BA$2:BA$49))</f>
        <v>2.7410432020822429E-2</v>
      </c>
      <c r="BC45" s="107" cm="1">
        <f t="array" ref="BC45">(BB45*(1+Table6[[#This Row],[Απρ-25]]))/SUMPRODUCT(BB$2:BB$49,(1+'Monthly Returns'!BB$2:BB$49))</f>
        <v>2.8940985936015566E-2</v>
      </c>
      <c r="BD45" s="109">
        <v>2.6506384738346076E-2</v>
      </c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</row>
    <row r="46" spans="1:92">
      <c r="A46" s="110" t="s">
        <v>257</v>
      </c>
      <c r="B46" s="111" t="s">
        <v>258</v>
      </c>
      <c r="C46" s="109">
        <v>1.7455424095984003E-2</v>
      </c>
      <c r="D46" s="107" cm="1">
        <f t="array" ref="D46">(Table684[[#This Row],[Ιαν-21]]*(1+Table6[[#This Row],[Ιαν-21]]))/SUMPRODUCT(C$2:C$49,(1+'Monthly Returns'!C$2:C$49))</f>
        <v>1.7823266166322457E-2</v>
      </c>
      <c r="E46" s="107" cm="1">
        <f t="array" ref="E46">(Table684[[#This Row],[Φεβ-21]]*(1+Table6[[#This Row],[Φεβ-21]]))/SUMPRODUCT(D$2:D$49,(1+'Monthly Returns'!D$2:D$49))</f>
        <v>1.6400605219134227E-2</v>
      </c>
      <c r="F46" s="107" cm="1">
        <f t="array" ref="F46">(Table684[[#This Row],[Μαρ-21]]*(1+Table6[[#This Row],[Μαρ-21]]))/SUMPRODUCT(E$2:E$49,(1+'Monthly Returns'!E$2:E$49))</f>
        <v>1.6630182420586937E-2</v>
      </c>
      <c r="G46" s="107" cm="1">
        <f t="array" ref="G46">(Table684[[#This Row],[Απρ-21]]*(1+Table6[[#This Row],[Απρ-21]]))/SUMPRODUCT(F$2:F$49,(1+'Monthly Returns'!F$2:F$49))</f>
        <v>1.5916232695709236E-2</v>
      </c>
      <c r="H46" s="109">
        <v>1.7455424095984003E-2</v>
      </c>
      <c r="I46" s="107" cm="1">
        <f t="array" ref="I46">(Table684[[#This Row],[Ιουν-21]]*(1+Table6[[#This Row],[Ιουν-21]]))/SUMPRODUCT(H$2:H$49,(1+'Monthly Returns'!H$2:H$49))</f>
        <v>1.6709055776113813E-2</v>
      </c>
      <c r="J46" s="107" cm="1">
        <f t="array" ref="J46">(Table684[[#This Row],[Ιουλ-21]]*(1+Table6[[#This Row],[Ιουλ-21]]))/SUMPRODUCT(I$2:I$49,(1+'Monthly Returns'!I$2:I$49))</f>
        <v>1.6768151987532679E-2</v>
      </c>
      <c r="K46" s="107" cm="1">
        <f t="array" ref="K46">(Table684[[#This Row],[Αυγ-21]]*(1+Table6[[#This Row],[Αυγ-21]]))/SUMPRODUCT(J$2:J$49,(1+'Monthly Returns'!J$2:J$49))</f>
        <v>1.6205670559009379E-2</v>
      </c>
      <c r="L46" s="107" cm="1">
        <f t="array" ref="L46">(Table684[[#This Row],[Σεπ-21]]*(1+Table6[[#This Row],[Σεπ-21]]))/SUMPRODUCT(K$2:K$49,(1+'Monthly Returns'!K$2:K$49))</f>
        <v>1.4296720543938072E-2</v>
      </c>
      <c r="M46" s="107" cm="1">
        <f t="array" ref="M46">(Table684[[#This Row],[Οκτ-21]]*(1+Table6[[#This Row],[Οκτ-21]]))/SUMPRODUCT(L$2:L$49,(1+'Monthly Returns'!L$2:L$49))</f>
        <v>1.4881867487789437E-2</v>
      </c>
      <c r="N46" s="107" cm="1">
        <f t="array" ref="N46">(Table684[[#This Row],[Νοε-21]]*(1+Table6[[#This Row],[Νοε-21]]))/SUMPRODUCT(M$2:M$49,(1+'Monthly Returns'!M$2:M$49))</f>
        <v>1.4354886208549224E-2</v>
      </c>
      <c r="O46" s="109">
        <v>1.7455424095984003E-2</v>
      </c>
      <c r="P46" s="107" cm="1">
        <f t="array" ref="P46">(O46*(1+Table6[[#This Row],[Ιαν-22]]))/SUMPRODUCT(O$2:O$49,(1+'Monthly Returns'!O$2:O$49))</f>
        <v>1.742262605970981E-2</v>
      </c>
      <c r="Q46" s="107" cm="1">
        <f t="array" ref="Q46">(P46*(1+Table6[[#This Row],[Φεβ-22]]))/SUMPRODUCT(P$2:P$49,(1+'Monthly Returns'!P$2:P$49))</f>
        <v>1.7582400906273686E-2</v>
      </c>
      <c r="R46" s="107" cm="1">
        <f t="array" ref="R46">(Q46*(1+Table6[[#This Row],[Μαρ-22]]))/SUMPRODUCT(Q$2:Q$49,(1+'Monthly Returns'!Q$2:Q$49))</f>
        <v>1.5924407828218096E-2</v>
      </c>
      <c r="S46" s="107" cm="1">
        <f t="array" ref="S46">(R46*(1+Table6[[#This Row],[Απρ-22]]))/SUMPRODUCT(R$2:R$49,(1+'Monthly Returns'!R$2:R$49))</f>
        <v>1.6179270911276029E-2</v>
      </c>
      <c r="T46" s="109">
        <v>1.7455424095984003E-2</v>
      </c>
      <c r="U46" s="107" cm="1">
        <f t="array" ref="U46">(T46*(1+Table6[[#This Row],[Ιουν-22]]))/SUMPRODUCT(T$2:T$49,(1+'Monthly Returns'!T$2:T$49))</f>
        <v>1.6371738314829323E-2</v>
      </c>
      <c r="V46" s="107" cm="1">
        <f t="array" ref="V46">(U46*(1+Table6[[#This Row],[Ιουλ-22]]))/SUMPRODUCT(U$2:U$49,(1+'Monthly Returns'!U$2:U$49))</f>
        <v>1.5077834215831301E-2</v>
      </c>
      <c r="W46" s="107" cm="1">
        <f t="array" ref="W46">(V46*(1+Table6[[#This Row],[Αυγ-22]]))/SUMPRODUCT(V$2:V$49,(1+'Monthly Returns'!V$2:V$49))</f>
        <v>1.5197806910224937E-2</v>
      </c>
      <c r="X46" s="107" cm="1">
        <f t="array" ref="X46">(W46*(1+Table6[[#This Row],[Σεπ-22]]))/SUMPRODUCT(W$2:W$49,(1+'Monthly Returns'!W$2:W$49))</f>
        <v>1.4425423568012035E-2</v>
      </c>
      <c r="Y46" s="107" cm="1">
        <f t="array" ref="Y46">(X46*(1+Table6[[#This Row],[Οκτ-22]]))/SUMPRODUCT(X$2:X$49,(1+'Monthly Returns'!X$2:X$49))</f>
        <v>1.4366211639354528E-2</v>
      </c>
      <c r="Z46" s="107" cm="1">
        <f t="array" ref="Z46">(Y46*(1+Table6[[#This Row],[Νοε-22]]))/SUMPRODUCT(Y$2:Y$49,(1+'Monthly Returns'!Y$2:Y$49))</f>
        <v>1.5147345626511629E-2</v>
      </c>
      <c r="AA46" s="109">
        <v>1.7455424095984003E-2</v>
      </c>
      <c r="AB46" s="107" cm="1">
        <f t="array" ref="AB46">(AA46*(1+Table6[[#This Row],[Ιαν-23]]))/SUMPRODUCT(AA$2:AA$49,(1+'Monthly Returns'!AA$2:AA$49))</f>
        <v>1.7784486382502674E-2</v>
      </c>
      <c r="AC46" s="107" cm="1">
        <f t="array" ref="AC46">(AB46*(1+Table6[[#This Row],[Φεβ-23]]))/SUMPRODUCT(AB$2:AB$49,(1+'Monthly Returns'!AB$2:AB$49))</f>
        <v>1.7234863068753357E-2</v>
      </c>
      <c r="AD46" s="107" cm="1">
        <f t="array" ref="AD46">(AC46*(1+Table6[[#This Row],[Μαρ-23]]))/SUMPRODUCT(AC$2:AC$49,(1+'Monthly Returns'!AC$2:AC$49))</f>
        <v>1.8164106346043374E-2</v>
      </c>
      <c r="AE46" s="107" cm="1">
        <f t="array" ref="AE46">(AD46*(1+Table6[[#This Row],[Απρ-23]]))/SUMPRODUCT(AD$2:AD$49,(1+'Monthly Returns'!AD$2:AD$49))</f>
        <v>1.9473010808010071E-2</v>
      </c>
      <c r="AF46" s="109">
        <v>1.7455424095984003E-2</v>
      </c>
      <c r="AG46" s="107" cm="1">
        <f t="array" ref="AG46">(AF46*(1+Table6[[#This Row],[Ιουν-23]]))/SUMPRODUCT(AF$2:AF$49,(1+'Monthly Returns'!AF$2:AF$49))</f>
        <v>1.7815670097853512E-2</v>
      </c>
      <c r="AH46" s="107" cm="1">
        <f t="array" ref="AH46">(AG46*(1+Table6[[#This Row],[Ιουλ-23]]))/SUMPRODUCT(AG$2:AG$49,(1+'Monthly Returns'!AG$2:AG$49))</f>
        <v>1.832667769665661E-2</v>
      </c>
      <c r="AI46" s="107" cm="1">
        <f t="array" ref="AI46">(AH46*(1+Table6[[#This Row],[Αυγ-23]]))/SUMPRODUCT(AH$2:AH$49,(1+'Monthly Returns'!AH$2:AH$49))</f>
        <v>1.8496537008425518E-2</v>
      </c>
      <c r="AJ46" s="107" cm="1">
        <f t="array" ref="AJ46">(AI46*(1+Table6[[#This Row],[Σεπ-23]]))/SUMPRODUCT(AI$2:AI$49,(1+'Monthly Returns'!AI$2:AI$49))</f>
        <v>1.7594280581265054E-2</v>
      </c>
      <c r="AK46" s="107" cm="1">
        <f t="array" ref="AK46">(AJ46*(1+Table6[[#This Row],[Οκτ-23]]))/SUMPRODUCT(AJ$2:AJ$49,(1+'Monthly Returns'!AJ$2:AJ$49))</f>
        <v>1.8837245115338033E-2</v>
      </c>
      <c r="AL46" s="107" cm="1">
        <f t="array" ref="AL46">(AK46*(1+Table6[[#This Row],[Νοε-23]]))/SUMPRODUCT(AK$2:AK$49,(1+'Monthly Returns'!AK$2:AK$49))</f>
        <v>1.875745773112655E-2</v>
      </c>
      <c r="AM46" s="109">
        <v>1.7455424095984003E-2</v>
      </c>
      <c r="AN46" s="107" cm="1">
        <f t="array" ref="AN46">(AM46*(1+Table6[[#This Row],[Ιαν-24]]))/SUMPRODUCT(AM$2:AM$49,(1+'Monthly Returns'!AM$2:AM$49))</f>
        <v>1.6707537282248056E-2</v>
      </c>
      <c r="AO46" s="107" cm="1">
        <f t="array" ref="AO46">(AN46*(1+Table6[[#This Row],[Φεβ-24]]))/SUMPRODUCT(AN$2:AN$49,(1+'Monthly Returns'!AN$2:AN$49))</f>
        <v>1.4983014327085421E-2</v>
      </c>
      <c r="AP46" s="107" cm="1">
        <f t="array" ref="AP46">(AO46*(1+Table6[[#This Row],[Μαρ-24]]))/SUMPRODUCT(AO$2:AO$49,(1+'Monthly Returns'!AO$2:AO$49))</f>
        <v>1.4769511127306702E-2</v>
      </c>
      <c r="AQ46" s="107" cm="1">
        <f t="array" ref="AQ46">(AP46*(1+Table6[[#This Row],[Απρ-24]]))/SUMPRODUCT(AP$2:AP$49,(1+'Monthly Returns'!AP$2:AP$49))</f>
        <v>1.4951499677669277E-2</v>
      </c>
      <c r="AR46" s="109">
        <v>1.7455424095984003E-2</v>
      </c>
      <c r="AS46" s="107" cm="1">
        <f t="array" ref="AS46">(AR46*(1+Table6[[#This Row],[Ιουν-24]]))/SUMPRODUCT(AR$2:AR$49,(1+'Monthly Returns'!AR$2:AR$49))</f>
        <v>1.7229597005819962E-2</v>
      </c>
      <c r="AT46" s="107" cm="1">
        <f t="array" ref="AT46">(AS46*(1+Table6[[#This Row],[Ιουλ-24]]))/SUMPRODUCT(AS$2:AS$49,(1+'Monthly Returns'!AS$2:AS$49))</f>
        <v>1.7578201088299512E-2</v>
      </c>
      <c r="AU46" s="107" cm="1">
        <f t="array" ref="AU46">(AT46*(1+Table6[[#This Row],[Αυγ-24]]))/SUMPRODUCT(AT$2:AT$49,(1+'Monthly Returns'!AT$2:AT$49))</f>
        <v>1.7814055015266752E-2</v>
      </c>
      <c r="AV46" s="107" cm="1">
        <f t="array" ref="AV46">(AU46*(1+Table6[[#This Row],[Σεπ-24]]))/SUMPRODUCT(AU$2:AU$49,(1+'Monthly Returns'!AU$2:AU$49))</f>
        <v>1.8623061644416763E-2</v>
      </c>
      <c r="AW46" s="107" cm="1">
        <f t="array" ref="AW46">(AV46*(1+Table6[[#This Row],[Οκτ-24]]))/SUMPRODUCT(AV$2:AV$49,(1+'Monthly Returns'!AV$2:AV$49))</f>
        <v>1.8502782410799945E-2</v>
      </c>
      <c r="AX46" s="107" cm="1">
        <f t="array" ref="AX46">(AW46*(1+Table6[[#This Row],[Νοε-24]]))/SUMPRODUCT(AW$2:AW$49,(1+'Monthly Returns'!AW$2:AW$49))</f>
        <v>1.7754041699500869E-2</v>
      </c>
      <c r="AY46" s="109">
        <v>1.7455424095984003E-2</v>
      </c>
      <c r="AZ46" s="107" cm="1">
        <f t="array" ref="AZ46">(AY46*(1+Table6[[#This Row],[Ιαν-25]]))/SUMPRODUCT(AY$2:AY$49,(1+'Monthly Returns'!AY$2:AY$49))</f>
        <v>1.6678854386651756E-2</v>
      </c>
      <c r="BA46" s="107" cm="1">
        <f t="array" ref="BA46">(AZ46*(1+Table6[[#This Row],[Φεβ-25]]))/SUMPRODUCT(AZ$2:AZ$49,(1+'Monthly Returns'!AZ$2:AZ$49))</f>
        <v>1.6322257949206036E-2</v>
      </c>
      <c r="BB46" s="107" cm="1">
        <f t="array" ref="BB46">(BA46*(1+Table6[[#This Row],[Μαρ-25]]))/SUMPRODUCT(BA$2:BA$49,(1+'Monthly Returns'!BA$2:BA$49))</f>
        <v>1.7733116085813627E-2</v>
      </c>
      <c r="BC46" s="107" cm="1">
        <f t="array" ref="BC46">(BB46*(1+Table6[[#This Row],[Απρ-25]]))/SUMPRODUCT(BB$2:BB$49,(1+'Monthly Returns'!BB$2:BB$49))</f>
        <v>1.7943680040652575E-2</v>
      </c>
      <c r="BD46" s="109">
        <v>1.7455424095984003E-2</v>
      </c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</row>
    <row r="47" spans="1:92">
      <c r="A47" s="110" t="s">
        <v>145</v>
      </c>
      <c r="B47" s="110" t="s">
        <v>146</v>
      </c>
      <c r="C47" s="109">
        <v>2.4341622075333118E-2</v>
      </c>
      <c r="D47" s="107" cm="1">
        <f t="array" ref="D47">(Table684[[#This Row],[Ιαν-21]]*(1+Table6[[#This Row],[Ιαν-21]]))/SUMPRODUCT(C$2:C$49,(1+'Monthly Returns'!C$2:C$49))</f>
        <v>2.4303184504323467E-2</v>
      </c>
      <c r="E47" s="107" cm="1">
        <f t="array" ref="E47">(Table684[[#This Row],[Φεβ-21]]*(1+Table6[[#This Row],[Φεβ-21]]))/SUMPRODUCT(D$2:D$49,(1+'Monthly Returns'!D$2:D$49))</f>
        <v>2.3717795535645535E-2</v>
      </c>
      <c r="F47" s="107" cm="1">
        <f t="array" ref="F47">(Table684[[#This Row],[Μαρ-21]]*(1+Table6[[#This Row],[Μαρ-21]]))/SUMPRODUCT(E$2:E$49,(1+'Monthly Returns'!E$2:E$49))</f>
        <v>2.550695918348252E-2</v>
      </c>
      <c r="G47" s="107" cm="1">
        <f t="array" ref="G47">(Table684[[#This Row],[Απρ-21]]*(1+Table6[[#This Row],[Απρ-21]]))/SUMPRODUCT(F$2:F$49,(1+'Monthly Returns'!F$2:F$49))</f>
        <v>2.4151099057002638E-2</v>
      </c>
      <c r="H47" s="109">
        <v>2.4341622075333118E-2</v>
      </c>
      <c r="I47" s="107" cm="1">
        <f t="array" ref="I47">(Table684[[#This Row],[Ιουν-21]]*(1+Table6[[#This Row],[Ιουν-21]]))/SUMPRODUCT(H$2:H$49,(1+'Monthly Returns'!H$2:H$49))</f>
        <v>2.5050407990535629E-2</v>
      </c>
      <c r="J47" s="107" cm="1">
        <f t="array" ref="J47">(Table684[[#This Row],[Ιουλ-21]]*(1+Table6[[#This Row],[Ιουλ-21]]))/SUMPRODUCT(I$2:I$49,(1+'Monthly Returns'!I$2:I$49))</f>
        <v>2.4283399179117093E-2</v>
      </c>
      <c r="K47" s="107" cm="1">
        <f t="array" ref="K47">(Table684[[#This Row],[Αυγ-21]]*(1+Table6[[#This Row],[Αυγ-21]]))/SUMPRODUCT(J$2:J$49,(1+'Monthly Returns'!J$2:J$49))</f>
        <v>2.4315866451609006E-2</v>
      </c>
      <c r="L47" s="107" cm="1">
        <f t="array" ref="L47">(Table684[[#This Row],[Σεπ-21]]*(1+Table6[[#This Row],[Σεπ-21]]))/SUMPRODUCT(K$2:K$49,(1+'Monthly Returns'!K$2:K$49))</f>
        <v>2.3990222240314434E-2</v>
      </c>
      <c r="M47" s="107" cm="1">
        <f t="array" ref="M47">(Table684[[#This Row],[Οκτ-21]]*(1+Table6[[#This Row],[Οκτ-21]]))/SUMPRODUCT(L$2:L$49,(1+'Monthly Returns'!L$2:L$49))</f>
        <v>2.1343352078246971E-2</v>
      </c>
      <c r="N47" s="107" cm="1">
        <f t="array" ref="N47">(Table684[[#This Row],[Νοε-21]]*(1+Table6[[#This Row],[Νοε-21]]))/SUMPRODUCT(M$2:M$49,(1+'Monthly Returns'!M$2:M$49))</f>
        <v>2.1527097255130443E-2</v>
      </c>
      <c r="O47" s="109">
        <v>2.4341622075333118E-2</v>
      </c>
      <c r="P47" s="107" cm="1">
        <f t="array" ref="P47">(O47*(1+Table6[[#This Row],[Ιαν-22]]))/SUMPRODUCT(O$2:O$49,(1+'Monthly Returns'!O$2:O$49))</f>
        <v>2.5226376306670469E-2</v>
      </c>
      <c r="Q47" s="107" cm="1">
        <f t="array" ref="Q47">(P47*(1+Table6[[#This Row],[Φεβ-22]]))/SUMPRODUCT(P$2:P$49,(1+'Monthly Returns'!P$2:P$49))</f>
        <v>2.4767124188938956E-2</v>
      </c>
      <c r="R47" s="107" cm="1">
        <f t="array" ref="R47">(Q47*(1+Table6[[#This Row],[Μαρ-22]]))/SUMPRODUCT(Q$2:Q$49,(1+'Monthly Returns'!Q$2:Q$49))</f>
        <v>2.6049469171180614E-2</v>
      </c>
      <c r="S47" s="107" cm="1">
        <f t="array" ref="S47">(R47*(1+Table6[[#This Row],[Απρ-22]]))/SUMPRODUCT(R$2:R$49,(1+'Monthly Returns'!R$2:R$49))</f>
        <v>2.7300637253351186E-2</v>
      </c>
      <c r="T47" s="109">
        <v>2.4341622075333118E-2</v>
      </c>
      <c r="U47" s="107" cm="1">
        <f t="array" ref="U47">(T47*(1+Table6[[#This Row],[Ιουν-22]]))/SUMPRODUCT(T$2:T$49,(1+'Monthly Returns'!T$2:T$49))</f>
        <v>2.6147796290270944E-2</v>
      </c>
      <c r="V47" s="107" cm="1">
        <f t="array" ref="V47">(U47*(1+Table6[[#This Row],[Ιουλ-22]]))/SUMPRODUCT(U$2:U$49,(1+'Monthly Returns'!U$2:U$49))</f>
        <v>2.4174868652789672E-2</v>
      </c>
      <c r="W47" s="107" cm="1">
        <f t="array" ref="W47">(V47*(1+Table6[[#This Row],[Αυγ-22]]))/SUMPRODUCT(V$2:V$49,(1+'Monthly Returns'!V$2:V$49))</f>
        <v>2.5826966206683004E-2</v>
      </c>
      <c r="X47" s="107" cm="1">
        <f t="array" ref="X47">(W47*(1+Table6[[#This Row],[Σεπ-22]]))/SUMPRODUCT(W$2:W$49,(1+'Monthly Returns'!W$2:W$49))</f>
        <v>2.5062118873956481E-2</v>
      </c>
      <c r="Y47" s="107" cm="1">
        <f t="array" ref="Y47">(X47*(1+Table6[[#This Row],[Οκτ-22]]))/SUMPRODUCT(X$2:X$49,(1+'Monthly Returns'!X$2:X$49))</f>
        <v>2.5810739711717497E-2</v>
      </c>
      <c r="Z47" s="107" cm="1">
        <f t="array" ref="Z47">(Y47*(1+Table6[[#This Row],[Νοε-22]]))/SUMPRODUCT(Y$2:Y$49,(1+'Monthly Returns'!Y$2:Y$49))</f>
        <v>2.4385178803901921E-2</v>
      </c>
      <c r="AA47" s="109">
        <v>2.4341622075333118E-2</v>
      </c>
      <c r="AB47" s="107" cm="1">
        <f t="array" ref="AB47">(AA47*(1+Table6[[#This Row],[Ιαν-23]]))/SUMPRODUCT(AA$2:AA$49,(1+'Monthly Returns'!AA$2:AA$49))</f>
        <v>2.4512563374201102E-2</v>
      </c>
      <c r="AC47" s="107" cm="1">
        <f t="array" ref="AC47">(AB47*(1+Table6[[#This Row],[Φεβ-23]]))/SUMPRODUCT(AB$2:AB$49,(1+'Monthly Returns'!AB$2:AB$49))</f>
        <v>2.4985753441962136E-2</v>
      </c>
      <c r="AD47" s="107" cm="1">
        <f t="array" ref="AD47">(AC47*(1+Table6[[#This Row],[Μαρ-23]]))/SUMPRODUCT(AC$2:AC$49,(1+'Monthly Returns'!AC$2:AC$49))</f>
        <v>2.6223415551057221E-2</v>
      </c>
      <c r="AE47" s="107" cm="1">
        <f t="array" ref="AE47">(AD47*(1+Table6[[#This Row],[Απρ-23]]))/SUMPRODUCT(AD$2:AD$49,(1+'Monthly Returns'!AD$2:AD$49))</f>
        <v>2.5617422491111423E-2</v>
      </c>
      <c r="AF47" s="109">
        <v>2.4341622075333118E-2</v>
      </c>
      <c r="AG47" s="107" cm="1">
        <f t="array" ref="AG47">(AF47*(1+Table6[[#This Row],[Ιουν-23]]))/SUMPRODUCT(AF$2:AF$49,(1+'Monthly Returns'!AF$2:AF$49))</f>
        <v>2.2677894160493685E-2</v>
      </c>
      <c r="AH47" s="107" cm="1">
        <f t="array" ref="AH47">(AG47*(1+Table6[[#This Row],[Ιουλ-23]]))/SUMPRODUCT(AG$2:AG$49,(1+'Monthly Returns'!AG$2:AG$49))</f>
        <v>2.2004202692352967E-2</v>
      </c>
      <c r="AI47" s="107" cm="1">
        <f t="array" ref="AI47">(AH47*(1+Table6[[#This Row],[Αυγ-23]]))/SUMPRODUCT(AH$2:AH$49,(1+'Monthly Returns'!AH$2:AH$49))</f>
        <v>2.2423476819918142E-2</v>
      </c>
      <c r="AJ47" s="107" cm="1">
        <f t="array" ref="AJ47">(AI47*(1+Table6[[#This Row],[Σεπ-23]]))/SUMPRODUCT(AI$2:AI$49,(1+'Monthly Returns'!AI$2:AI$49))</f>
        <v>2.2788512399072345E-2</v>
      </c>
      <c r="AK47" s="107" cm="1">
        <f t="array" ref="AK47">(AJ47*(1+Table6[[#This Row],[Οκτ-23]]))/SUMPRODUCT(AJ$2:AJ$49,(1+'Monthly Returns'!AJ$2:AJ$49))</f>
        <v>2.4540707050563607E-2</v>
      </c>
      <c r="AL47" s="107" cm="1">
        <f t="array" ref="AL47">(AK47*(1+Table6[[#This Row],[Νοε-23]]))/SUMPRODUCT(AK$2:AK$49,(1+'Monthly Returns'!AK$2:AK$49))</f>
        <v>2.421793203721154E-2</v>
      </c>
      <c r="AM47" s="109">
        <v>2.4341622075333118E-2</v>
      </c>
      <c r="AN47" s="107" cm="1">
        <f t="array" ref="AN47">(AM47*(1+Table6[[#This Row],[Ιαν-24]]))/SUMPRODUCT(AM$2:AM$49,(1+'Monthly Returns'!AM$2:AM$49))</f>
        <v>2.4925963537305189E-2</v>
      </c>
      <c r="AO47" s="107" cm="1">
        <f t="array" ref="AO47">(AN47*(1+Table6[[#This Row],[Φεβ-24]]))/SUMPRODUCT(AN$2:AN$49,(1+'Monthly Returns'!AN$2:AN$49))</f>
        <v>2.3348174831915661E-2</v>
      </c>
      <c r="AP47" s="107" cm="1">
        <f t="array" ref="AP47">(AO47*(1+Table6[[#This Row],[Μαρ-24]]))/SUMPRODUCT(AO$2:AO$49,(1+'Monthly Returns'!AO$2:AO$49))</f>
        <v>2.2612738735478588E-2</v>
      </c>
      <c r="AQ47" s="107" cm="1">
        <f t="array" ref="AQ47">(AP47*(1+Table6[[#This Row],[Απρ-24]]))/SUMPRODUCT(AP$2:AP$49,(1+'Monthly Returns'!AP$2:AP$49))</f>
        <v>2.2433588719896081E-2</v>
      </c>
      <c r="AR47" s="109">
        <v>2.4341622075333118E-2</v>
      </c>
      <c r="AS47" s="107" cm="1">
        <f t="array" ref="AS47">(AR47*(1+Table6[[#This Row],[Ιουν-24]]))/SUMPRODUCT(AR$2:AR$49,(1+'Monthly Returns'!AR$2:AR$49))</f>
        <v>2.5817133720337261E-2</v>
      </c>
      <c r="AT47" s="107" cm="1">
        <f t="array" ref="AT47">(AS47*(1+Table6[[#This Row],[Ιουλ-24]]))/SUMPRODUCT(AS$2:AS$49,(1+'Monthly Returns'!AS$2:AS$49))</f>
        <v>2.5799538796257362E-2</v>
      </c>
      <c r="AU47" s="107" cm="1">
        <f t="array" ref="AU47">(AT47*(1+Table6[[#This Row],[Αυγ-24]]))/SUMPRODUCT(AT$2:AT$49,(1+'Monthly Returns'!AT$2:AT$49))</f>
        <v>2.6788731817139234E-2</v>
      </c>
      <c r="AV47" s="107" cm="1">
        <f t="array" ref="AV47">(AU47*(1+Table6[[#This Row],[Σεπ-24]]))/SUMPRODUCT(AU$2:AU$49,(1+'Monthly Returns'!AU$2:AU$49))</f>
        <v>2.7552535061449706E-2</v>
      </c>
      <c r="AW47" s="107" cm="1">
        <f t="array" ref="AW47">(AV47*(1+Table6[[#This Row],[Οκτ-24]]))/SUMPRODUCT(AV$2:AV$49,(1+'Monthly Returns'!AV$2:AV$49))</f>
        <v>2.9631845622863653E-2</v>
      </c>
      <c r="AX47" s="107" cm="1">
        <f t="array" ref="AX47">(AW47*(1+Table6[[#This Row],[Νοε-24]]))/SUMPRODUCT(AW$2:AW$49,(1+'Monthly Returns'!AW$2:AW$49))</f>
        <v>3.168054634761356E-2</v>
      </c>
      <c r="AY47" s="109">
        <v>2.4341622075333118E-2</v>
      </c>
      <c r="AZ47" s="107" cm="1">
        <f t="array" ref="AZ47">(AY47*(1+Table6[[#This Row],[Ιαν-25]]))/SUMPRODUCT(AY$2:AY$49,(1+'Monthly Returns'!AY$2:AY$49))</f>
        <v>2.5253459623226764E-2</v>
      </c>
      <c r="BA47" s="107" cm="1">
        <f t="array" ref="BA47">(AZ47*(1+Table6[[#This Row],[Φεβ-25]]))/SUMPRODUCT(AZ$2:AZ$49,(1+'Monthly Returns'!AZ$2:AZ$49))</f>
        <v>2.5882241592432922E-2</v>
      </c>
      <c r="BB47" s="107" cm="1">
        <f t="array" ref="BB47">(BA47*(1+Table6[[#This Row],[Μαρ-25]]))/SUMPRODUCT(BA$2:BA$49,(1+'Monthly Returns'!BA$2:BA$49))</f>
        <v>2.6165379594886146E-2</v>
      </c>
      <c r="BC47" s="107" cm="1">
        <f t="array" ref="BC47">(BB47*(1+Table6[[#This Row],[Απρ-25]]))/SUMPRODUCT(BB$2:BB$49,(1+'Monthly Returns'!BB$2:BB$49))</f>
        <v>2.4546712174940314E-2</v>
      </c>
      <c r="BD47" s="109">
        <v>2.4341622075333118E-2</v>
      </c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</row>
    <row r="48" spans="1:92">
      <c r="A48" s="110" t="s">
        <v>262</v>
      </c>
      <c r="B48" s="110" t="s">
        <v>263</v>
      </c>
      <c r="C48" s="109">
        <v>1.6787325569195249E-2</v>
      </c>
      <c r="D48" s="107" cm="1">
        <f t="array" ref="D48">(Table684[[#This Row],[Ιαν-21]]*(1+Table6[[#This Row],[Ιαν-21]]))/SUMPRODUCT(C$2:C$49,(1+'Monthly Returns'!C$2:C$49))</f>
        <v>1.7809959494885556E-2</v>
      </c>
      <c r="E48" s="107" cm="1">
        <f t="array" ref="E48">(Table684[[#This Row],[Φεβ-21]]*(1+Table6[[#This Row],[Φεβ-21]]))/SUMPRODUCT(D$2:D$49,(1+'Monthly Returns'!D$2:D$49))</f>
        <v>1.9427806033451702E-2</v>
      </c>
      <c r="F48" s="107" cm="1">
        <f t="array" ref="F48">(Table684[[#This Row],[Μαρ-21]]*(1+Table6[[#This Row],[Μαρ-21]]))/SUMPRODUCT(E$2:E$49,(1+'Monthly Returns'!E$2:E$49))</f>
        <v>1.9506890963153268E-2</v>
      </c>
      <c r="G48" s="107" cm="1">
        <f t="array" ref="G48">(Table684[[#This Row],[Απρ-21]]*(1+Table6[[#This Row],[Απρ-21]]))/SUMPRODUCT(F$2:F$49,(1+'Monthly Returns'!F$2:F$49))</f>
        <v>1.9850905919505391E-2</v>
      </c>
      <c r="H48" s="109">
        <v>1.6787325569195249E-2</v>
      </c>
      <c r="I48" s="107" cm="1">
        <f t="array" ref="I48">(Table684[[#This Row],[Ιουν-21]]*(1+Table6[[#This Row],[Ιουν-21]]))/SUMPRODUCT(H$2:H$49,(1+'Monthly Returns'!H$2:H$49))</f>
        <v>1.6654651867495214E-2</v>
      </c>
      <c r="J48" s="107" cm="1">
        <f t="array" ref="J48">(Table684[[#This Row],[Ιουλ-21]]*(1+Table6[[#This Row],[Ιουλ-21]]))/SUMPRODUCT(I$2:I$49,(1+'Monthly Returns'!I$2:I$49))</f>
        <v>1.6221980497797803E-2</v>
      </c>
      <c r="K48" s="107" cm="1">
        <f t="array" ref="K48">(Table684[[#This Row],[Αυγ-21]]*(1+Table6[[#This Row],[Αυγ-21]]))/SUMPRODUCT(J$2:J$49,(1+'Monthly Returns'!J$2:J$49))</f>
        <v>1.6488660168506419E-2</v>
      </c>
      <c r="L48" s="107" cm="1">
        <f t="array" ref="L48">(Table684[[#This Row],[Σεπ-21]]*(1+Table6[[#This Row],[Σεπ-21]]))/SUMPRODUCT(K$2:K$49,(1+'Monthly Returns'!K$2:K$49))</f>
        <v>1.7710832208896684E-2</v>
      </c>
      <c r="M48" s="107" cm="1">
        <f t="array" ref="M48">(Table684[[#This Row],[Οκτ-21]]*(1+Table6[[#This Row],[Οκτ-21]]))/SUMPRODUCT(L$2:L$49,(1+'Monthly Returns'!L$2:L$49))</f>
        <v>1.6851395272174E-2</v>
      </c>
      <c r="N48" s="107" cm="1">
        <f t="array" ref="N48">(Table684[[#This Row],[Νοε-21]]*(1+Table6[[#This Row],[Νοε-21]]))/SUMPRODUCT(M$2:M$49,(1+'Monthly Returns'!M$2:M$49))</f>
        <v>1.729459127561625E-2</v>
      </c>
      <c r="O48" s="109">
        <v>1.6787325569195249E-2</v>
      </c>
      <c r="P48" s="107" cm="1">
        <f t="array" ref="P48">(O48*(1+Table6[[#This Row],[Ιαν-22]]))/SUMPRODUCT(O$2:O$49,(1+'Monthly Returns'!O$2:O$49))</f>
        <v>1.7074102100945707E-2</v>
      </c>
      <c r="Q48" s="107" cm="1">
        <f t="array" ref="Q48">(P48*(1+Table6[[#This Row],[Φεβ-22]]))/SUMPRODUCT(P$2:P$49,(1+'Monthly Returns'!P$2:P$49))</f>
        <v>1.7687474429369021E-2</v>
      </c>
      <c r="R48" s="107" cm="1">
        <f t="array" ref="R48">(Q48*(1+Table6[[#This Row],[Μαρ-22]]))/SUMPRODUCT(Q$2:Q$49,(1+'Monthly Returns'!Q$2:Q$49))</f>
        <v>1.6143269621774193E-2</v>
      </c>
      <c r="S48" s="107" cm="1">
        <f t="array" ref="S48">(R48*(1+Table6[[#This Row],[Απρ-22]]))/SUMPRODUCT(R$2:R$49,(1+'Monthly Returns'!R$2:R$49))</f>
        <v>1.6678544141075505E-2</v>
      </c>
      <c r="T48" s="109">
        <v>1.6787325569195249E-2</v>
      </c>
      <c r="U48" s="107" cm="1">
        <f t="array" ref="U48">(T48*(1+Table6[[#This Row],[Ιουν-22]]))/SUMPRODUCT(T$2:T$49,(1+'Monthly Returns'!T$2:T$49))</f>
        <v>1.6718591113548724E-2</v>
      </c>
      <c r="V48" s="107" cm="1">
        <f t="array" ref="V48">(U48*(1+Table6[[#This Row],[Ιουλ-22]]))/SUMPRODUCT(U$2:U$49,(1+'Monthly Returns'!U$2:U$49))</f>
        <v>1.8470114093723115E-2</v>
      </c>
      <c r="W48" s="107" cm="1">
        <f t="array" ref="W48">(V48*(1+Table6[[#This Row],[Αυγ-22]]))/SUMPRODUCT(V$2:V$49,(1+'Monthly Returns'!V$2:V$49))</f>
        <v>1.8282302257357646E-2</v>
      </c>
      <c r="X48" s="107" cm="1">
        <f t="array" ref="X48">(W48*(1+Table6[[#This Row],[Σεπ-22]]))/SUMPRODUCT(W$2:W$49,(1+'Monthly Returns'!W$2:W$49))</f>
        <v>1.9349659185463924E-2</v>
      </c>
      <c r="Y48" s="107" cm="1">
        <f t="array" ref="Y48">(X48*(1+Table6[[#This Row],[Οκτ-22]]))/SUMPRODUCT(X$2:X$49,(1+'Monthly Returns'!X$2:X$49))</f>
        <v>2.0898451649082789E-2</v>
      </c>
      <c r="Z48" s="107" cm="1">
        <f t="array" ref="Z48">(Y48*(1+Table6[[#This Row],[Νοε-22]]))/SUMPRODUCT(Y$2:Y$49,(1+'Monthly Returns'!Y$2:Y$49))</f>
        <v>2.1330721294547758E-2</v>
      </c>
      <c r="AA48" s="109">
        <v>1.6787325569195249E-2</v>
      </c>
      <c r="AB48" s="107" cm="1">
        <f t="array" ref="AB48">(AA48*(1+Table6[[#This Row],[Ιαν-23]]))/SUMPRODUCT(AA$2:AA$49,(1+'Monthly Returns'!AA$2:AA$49))</f>
        <v>1.6771292080578305E-2</v>
      </c>
      <c r="AC48" s="107" cm="1">
        <f t="array" ref="AC48">(AB48*(1+Table6[[#This Row],[Φεβ-23]]))/SUMPRODUCT(AB$2:AB$49,(1+'Monthly Returns'!AB$2:AB$49))</f>
        <v>1.9151591532969484E-2</v>
      </c>
      <c r="AD48" s="107" cm="1">
        <f t="array" ref="AD48">(AC48*(1+Table6[[#This Row],[Μαρ-23]]))/SUMPRODUCT(AC$2:AC$49,(1+'Monthly Returns'!AC$2:AC$49))</f>
        <v>1.8194940834183715E-2</v>
      </c>
      <c r="AE48" s="107" cm="1">
        <f t="array" ref="AE48">(AD48*(1+Table6[[#This Row],[Απρ-23]]))/SUMPRODUCT(AD$2:AD$49,(1+'Monthly Returns'!AD$2:AD$49))</f>
        <v>1.8282622328417715E-2</v>
      </c>
      <c r="AF48" s="109">
        <v>1.6787325569195249E-2</v>
      </c>
      <c r="AG48" s="107" cm="1">
        <f t="array" ref="AG48">(AF48*(1+Table6[[#This Row],[Ιουν-23]]))/SUMPRODUCT(AF$2:AF$49,(1+'Monthly Returns'!AF$2:AF$49))</f>
        <v>1.7254203106620968E-2</v>
      </c>
      <c r="AH48" s="107" cm="1">
        <f t="array" ref="AH48">(AG48*(1+Table6[[#This Row],[Ιουλ-23]]))/SUMPRODUCT(AG$2:AG$49,(1+'Monthly Returns'!AG$2:AG$49))</f>
        <v>1.7578376627593546E-2</v>
      </c>
      <c r="AI48" s="107" cm="1">
        <f t="array" ref="AI48">(AH48*(1+Table6[[#This Row],[Αυγ-23]]))/SUMPRODUCT(AH$2:AH$49,(1+'Monthly Returns'!AH$2:AH$49))</f>
        <v>1.7587199591237713E-2</v>
      </c>
      <c r="AJ48" s="107" cm="1">
        <f t="array" ref="AJ48">(AI48*(1+Table6[[#This Row],[Σεπ-23]]))/SUMPRODUCT(AI$2:AI$49,(1+'Monthly Returns'!AI$2:AI$49))</f>
        <v>1.7775327948178116E-2</v>
      </c>
      <c r="AK48" s="107" cm="1">
        <f t="array" ref="AK48">(AJ48*(1+Table6[[#This Row],[Οκτ-23]]))/SUMPRODUCT(AJ$2:AJ$49,(1+'Monthly Returns'!AJ$2:AJ$49))</f>
        <v>1.8485435022329945E-2</v>
      </c>
      <c r="AL48" s="107" cm="1">
        <f t="array" ref="AL48">(AK48*(1+Table6[[#This Row],[Νοε-23]]))/SUMPRODUCT(AK$2:AK$49,(1+'Monthly Returns'!AK$2:AK$49))</f>
        <v>1.838164782809382E-2</v>
      </c>
      <c r="AM48" s="109">
        <v>1.6787325569195249E-2</v>
      </c>
      <c r="AN48" s="107" cm="1">
        <f t="array" ref="AN48">(AM48*(1+Table6[[#This Row],[Ιαν-24]]))/SUMPRODUCT(AM$2:AM$49,(1+'Monthly Returns'!AM$2:AM$49))</f>
        <v>1.8291120681971588E-2</v>
      </c>
      <c r="AO48" s="107" cm="1">
        <f t="array" ref="AO48">(AN48*(1+Table6[[#This Row],[Φεβ-24]]))/SUMPRODUCT(AN$2:AN$49,(1+'Monthly Returns'!AN$2:AN$49))</f>
        <v>1.8568895337383234E-2</v>
      </c>
      <c r="AP48" s="107" cm="1">
        <f t="array" ref="AP48">(AO48*(1+Table6[[#This Row],[Μαρ-24]]))/SUMPRODUCT(AO$2:AO$49,(1+'Monthly Returns'!AO$2:AO$49))</f>
        <v>1.818638391155341E-2</v>
      </c>
      <c r="AQ48" s="107" cm="1">
        <f t="array" ref="AQ48">(AP48*(1+Table6[[#This Row],[Απρ-24]]))/SUMPRODUCT(AP$2:AP$49,(1+'Monthly Returns'!AP$2:AP$49))</f>
        <v>1.8731259287015307E-2</v>
      </c>
      <c r="AR48" s="109">
        <v>1.6787325569195249E-2</v>
      </c>
      <c r="AS48" s="107" cm="1">
        <f t="array" ref="AS48">(AR48*(1+Table6[[#This Row],[Ιουν-24]]))/SUMPRODUCT(AR$2:AR$49,(1+'Monthly Returns'!AR$2:AR$49))</f>
        <v>1.6418979278404789E-2</v>
      </c>
      <c r="AT48" s="107" cm="1">
        <f t="array" ref="AT48">(AS48*(1+Table6[[#This Row],[Ιουλ-24]]))/SUMPRODUCT(AS$2:AS$49,(1+'Monthly Returns'!AS$2:AS$49))</f>
        <v>1.6077173956854474E-2</v>
      </c>
      <c r="AU48" s="107" cm="1">
        <f t="array" ref="AU48">(AT48*(1+Table6[[#This Row],[Αυγ-24]]))/SUMPRODUCT(AT$2:AT$49,(1+'Monthly Returns'!AT$2:AT$49))</f>
        <v>1.6106620942810974E-2</v>
      </c>
      <c r="AV48" s="107" cm="1">
        <f t="array" ref="AV48">(AU48*(1+Table6[[#This Row],[Σεπ-24]]))/SUMPRODUCT(AU$2:AU$49,(1+'Monthly Returns'!AU$2:AU$49))</f>
        <v>1.5910243741636177E-2</v>
      </c>
      <c r="AW48" s="107" cm="1">
        <f t="array" ref="AW48">(AV48*(1+Table6[[#This Row],[Οκτ-24]]))/SUMPRODUCT(AV$2:AV$49,(1+'Monthly Returns'!AV$2:AV$49))</f>
        <v>1.6193153059716098E-2</v>
      </c>
      <c r="AX48" s="107" cm="1">
        <f t="array" ref="AX48">(AW48*(1+Table6[[#This Row],[Νοε-24]]))/SUMPRODUCT(AW$2:AW$49,(1+'Monthly Returns'!AW$2:AW$49))</f>
        <v>1.6714745453321574E-2</v>
      </c>
      <c r="AY48" s="109">
        <v>1.6787325569195249E-2</v>
      </c>
      <c r="AZ48" s="107" cm="1">
        <f t="array" ref="AZ48">(AY48*(1+Table6[[#This Row],[Ιαν-25]]))/SUMPRODUCT(AY$2:AY$49,(1+'Monthly Returns'!AY$2:AY$49))</f>
        <v>1.5589710694049758E-2</v>
      </c>
      <c r="BA48" s="107" cm="1">
        <f t="array" ref="BA48">(AZ48*(1+Table6[[#This Row],[Φεβ-25]]))/SUMPRODUCT(AZ$2:AZ$49,(1+'Monthly Returns'!AZ$2:AZ$49))</f>
        <v>1.3770396936140962E-2</v>
      </c>
      <c r="BB48" s="107" cm="1">
        <f t="array" ref="BB48">(BA48*(1+Table6[[#This Row],[Μαρ-25]]))/SUMPRODUCT(BA$2:BA$49,(1+'Monthly Returns'!BA$2:BA$49))</f>
        <v>1.2795465102628308E-2</v>
      </c>
      <c r="BC48" s="107" cm="1">
        <f t="array" ref="BC48">(BB48*(1+Table6[[#This Row],[Απρ-25]]))/SUMPRODUCT(BB$2:BB$49,(1+'Monthly Returns'!BB$2:BB$49))</f>
        <v>1.3068034958978977E-2</v>
      </c>
      <c r="BD48" s="109">
        <v>1.6787325569195249E-2</v>
      </c>
      <c r="BE48" s="106"/>
      <c r="BF48" s="106"/>
      <c r="BG48" s="106"/>
      <c r="BH48" s="106"/>
      <c r="BI48" s="106"/>
      <c r="BJ48" s="106"/>
      <c r="BK48" s="106"/>
      <c r="BL48" s="106"/>
      <c r="BM48" s="106"/>
      <c r="BN48" s="106"/>
      <c r="BO48" s="106"/>
      <c r="BP48" s="106"/>
      <c r="BQ48" s="106"/>
      <c r="BR48" s="106"/>
      <c r="BS48" s="106"/>
      <c r="BT48" s="106"/>
      <c r="BU48" s="106"/>
      <c r="BV48" s="106"/>
      <c r="BW48" s="106"/>
      <c r="BX48" s="106"/>
      <c r="BY48" s="106"/>
      <c r="BZ48" s="106"/>
      <c r="CA48" s="106"/>
      <c r="CB48" s="106"/>
      <c r="CC48" s="106"/>
      <c r="CD48" s="106"/>
      <c r="CE48" s="106"/>
      <c r="CF48" s="106"/>
      <c r="CG48" s="106"/>
      <c r="CH48" s="106"/>
      <c r="CI48" s="106"/>
      <c r="CJ48" s="106"/>
      <c r="CK48" s="106"/>
      <c r="CL48" s="106"/>
      <c r="CM48" s="106"/>
      <c r="CN48" s="106"/>
    </row>
    <row r="49" spans="1:92">
      <c r="A49" s="110" t="s">
        <v>265</v>
      </c>
      <c r="B49" s="110" t="s">
        <v>266</v>
      </c>
      <c r="C49" s="109">
        <v>1.3324939670548736E-2</v>
      </c>
      <c r="D49" s="107" cm="1">
        <f t="array" ref="D49">(Table684[[#This Row],[Ιαν-21]]*(1+Table6[[#This Row],[Ιαν-21]]))/SUMPRODUCT(C$2:C$49,(1+'Monthly Returns'!C$2:C$49))</f>
        <v>1.2442843913189408E-2</v>
      </c>
      <c r="E49" s="107" cm="1">
        <f t="array" ref="E49">(Table684[[#This Row],[Φεβ-21]]*(1+Table6[[#This Row],[Φεβ-21]]))/SUMPRODUCT(D$2:D$49,(1+'Monthly Returns'!D$2:D$49))</f>
        <v>1.1449650637497793E-2</v>
      </c>
      <c r="F49" s="107" cm="1">
        <f t="array" ref="F49">(Table684[[#This Row],[Μαρ-21]]*(1+Table6[[#This Row],[Μαρ-21]]))/SUMPRODUCT(E$2:E$49,(1+'Monthly Returns'!E$2:E$49))</f>
        <v>1.1355785929575379E-2</v>
      </c>
      <c r="G49" s="107" cm="1">
        <f t="array" ref="G49">(Table684[[#This Row],[Απρ-21]]*(1+Table6[[#This Row],[Απρ-21]]))/SUMPRODUCT(F$2:F$49,(1+'Monthly Returns'!F$2:F$49))</f>
        <v>1.1223326616355446E-2</v>
      </c>
      <c r="H49" s="109">
        <v>1.3324939670548736E-2</v>
      </c>
      <c r="I49" s="107" cm="1">
        <f t="array" ref="I49">(Table684[[#This Row],[Ιουν-21]]*(1+Table6[[#This Row],[Ιουν-21]]))/SUMPRODUCT(H$2:H$49,(1+'Monthly Returns'!H$2:H$49))</f>
        <v>1.3918921577949219E-2</v>
      </c>
      <c r="J49" s="107" cm="1">
        <f t="array" ref="J49">(Table684[[#This Row],[Ιουλ-21]]*(1+Table6[[#This Row],[Ιουλ-21]]))/SUMPRODUCT(I$2:I$49,(1+'Monthly Returns'!I$2:I$49))</f>
        <v>1.4091810287392242E-2</v>
      </c>
      <c r="K49" s="107" cm="1">
        <f t="array" ref="K49">(Table684[[#This Row],[Αυγ-21]]*(1+Table6[[#This Row],[Αυγ-21]]))/SUMPRODUCT(J$2:J$49,(1+'Monthly Returns'!J$2:J$49))</f>
        <v>1.4014539001728504E-2</v>
      </c>
      <c r="L49" s="107" cm="1">
        <f t="array" ref="L49">(Table684[[#This Row],[Σεπ-21]]*(1+Table6[[#This Row],[Σεπ-21]]))/SUMPRODUCT(K$2:K$49,(1+'Monthly Returns'!K$2:K$49))</f>
        <v>1.3046501284927304E-2</v>
      </c>
      <c r="M49" s="107" cm="1">
        <f t="array" ref="M49">(Table684[[#This Row],[Οκτ-21]]*(1+Table6[[#This Row],[Οκτ-21]]))/SUMPRODUCT(L$2:L$49,(1+'Monthly Returns'!L$2:L$49))</f>
        <v>1.2549460382742621E-2</v>
      </c>
      <c r="N49" s="107" cm="1">
        <f t="array" ref="N49">(Table684[[#This Row],[Νοε-21]]*(1+Table6[[#This Row],[Νοε-21]]))/SUMPRODUCT(M$2:M$49,(1+'Monthly Returns'!M$2:M$49))</f>
        <v>1.3045373081560179E-2</v>
      </c>
      <c r="O49" s="109">
        <v>1.3324939670548736E-2</v>
      </c>
      <c r="P49" s="107" cm="1">
        <f t="array" ref="P49">(O49*(1+Table6[[#This Row],[Ιαν-22]]))/SUMPRODUCT(O$2:O$49,(1+'Monthly Returns'!O$2:O$49))</f>
        <v>1.4016237339452899E-2</v>
      </c>
      <c r="Q49" s="107" cm="1">
        <f t="array" ref="Q49">(P49*(1+Table6[[#This Row],[Φεβ-22]]))/SUMPRODUCT(P$2:P$49,(1+'Monthly Returns'!P$2:P$49))</f>
        <v>1.3522706037731166E-2</v>
      </c>
      <c r="R49" s="107" cm="1">
        <f t="array" ref="R49">(Q49*(1+Table6[[#This Row],[Μαρ-22]]))/SUMPRODUCT(Q$2:Q$49,(1+'Monthly Returns'!Q$2:Q$49))</f>
        <v>1.1975812404696657E-2</v>
      </c>
      <c r="S49" s="107" cm="1">
        <f t="array" ref="S49">(R49*(1+Table6[[#This Row],[Απρ-22]]))/SUMPRODUCT(R$2:R$49,(1+'Monthly Returns'!R$2:R$49))</f>
        <v>1.0585838189648901E-2</v>
      </c>
      <c r="T49" s="109">
        <v>1.3324939670548736E-2</v>
      </c>
      <c r="U49" s="107" cm="1">
        <f t="array" ref="U49">(T49*(1+Table6[[#This Row],[Ιουν-22]]))/SUMPRODUCT(T$2:T$49,(1+'Monthly Returns'!T$2:T$49))</f>
        <v>1.2030307864322054E-2</v>
      </c>
      <c r="V49" s="107" cm="1">
        <f t="array" ref="V49">(U49*(1+Table6[[#This Row],[Ιουλ-22]]))/SUMPRODUCT(U$2:U$49,(1+'Monthly Returns'!U$2:U$49))</f>
        <v>1.2500725838499498E-2</v>
      </c>
      <c r="W49" s="107" cm="1">
        <f t="array" ref="W49">(V49*(1+Table6[[#This Row],[Αυγ-22]]))/SUMPRODUCT(V$2:V$49,(1+'Monthly Returns'!V$2:V$49))</f>
        <v>1.0939048686215756E-2</v>
      </c>
      <c r="X49" s="107" cm="1">
        <f t="array" ref="X49">(W49*(1+Table6[[#This Row],[Σεπ-22]]))/SUMPRODUCT(W$2:W$49,(1+'Monthly Returns'!W$2:W$49))</f>
        <v>9.3720325721529003E-3</v>
      </c>
      <c r="Y49" s="107" cm="1">
        <f t="array" ref="Y49">(X49*(1+Table6[[#This Row],[Οκτ-22]]))/SUMPRODUCT(X$2:X$49,(1+'Monthly Returns'!X$2:X$49))</f>
        <v>8.9026089416751487E-3</v>
      </c>
      <c r="Z49" s="107" cm="1">
        <f t="array" ref="Z49">(Y49*(1+Table6[[#This Row],[Νοε-22]]))/SUMPRODUCT(Y$2:Y$49,(1+'Monthly Returns'!Y$2:Y$49))</f>
        <v>8.7793997408575266E-3</v>
      </c>
      <c r="AA49" s="109">
        <v>1.3324939670548736E-2</v>
      </c>
      <c r="AB49" s="107" cm="1">
        <f t="array" ref="AB49">(AA49*(1+Table6[[#This Row],[Ιαν-23]]))/SUMPRODUCT(AA$2:AA$49,(1+'Monthly Returns'!AA$2:AA$49))</f>
        <v>1.4415556679535452E-2</v>
      </c>
      <c r="AC49" s="107" cm="1">
        <f t="array" ref="AC49">(AB49*(1+Table6[[#This Row],[Φεβ-23]]))/SUMPRODUCT(AB$2:AB$49,(1+'Monthly Returns'!AB$2:AB$49))</f>
        <v>1.3073461611017826E-2</v>
      </c>
      <c r="AD49" s="107" cm="1">
        <f t="array" ref="AD49">(AC49*(1+Table6[[#This Row],[Μαρ-23]]))/SUMPRODUCT(AC$2:AC$49,(1+'Monthly Returns'!AC$2:AC$49))</f>
        <v>9.4194714454633472E-3</v>
      </c>
      <c r="AE49" s="107" cm="1">
        <f t="array" ref="AE49">(AD49*(1+Table6[[#This Row],[Απρ-23]]))/SUMPRODUCT(AD$2:AD$49,(1+'Monthly Returns'!AD$2:AD$49))</f>
        <v>1.0388801823900815E-2</v>
      </c>
      <c r="AF49" s="109">
        <v>1.3324939670548736E-2</v>
      </c>
      <c r="AG49" s="107" cm="1">
        <f t="array" ref="AG49">(AF49*(1+Table6[[#This Row],[Ιουν-23]]))/SUMPRODUCT(AF$2:AF$49,(1+'Monthly Returns'!AF$2:AF$49))</f>
        <v>1.3470774010460878E-2</v>
      </c>
      <c r="AH49" s="107" cm="1">
        <f t="array" ref="AH49">(AG49*(1+Table6[[#This Row],[Ιουλ-23]]))/SUMPRODUCT(AG$2:AG$49,(1+'Monthly Returns'!AG$2:AG$49))</f>
        <v>1.5684981741136677E-2</v>
      </c>
      <c r="AI49" s="107" cm="1">
        <f t="array" ref="AI49">(AH49*(1+Table6[[#This Row],[Αυγ-23]]))/SUMPRODUCT(AH$2:AH$49,(1+'Monthly Returns'!AH$2:AH$49))</f>
        <v>1.6658568484379594E-2</v>
      </c>
      <c r="AJ49" s="107" cm="1">
        <f t="array" ref="AJ49">(AI49*(1+Table6[[#This Row],[Σεπ-23]]))/SUMPRODUCT(AI$2:AI$49,(1+'Monthly Returns'!AI$2:AI$49))</f>
        <v>1.7350759767057303E-2</v>
      </c>
      <c r="AK49" s="107" cm="1">
        <f t="array" ref="AK49">(AJ49*(1+Table6[[#This Row],[Οκτ-23]]))/SUMPRODUCT(AJ$2:AJ$49,(1+'Monthly Returns'!AJ$2:AJ$49))</f>
        <v>1.7251302730586594E-2</v>
      </c>
      <c r="AL49" s="107" cm="1">
        <f t="array" ref="AL49">(AK49*(1+Table6[[#This Row],[Νοε-23]]))/SUMPRODUCT(AK$2:AK$49,(1+'Monthly Returns'!AK$2:AK$49))</f>
        <v>1.871177702439248E-2</v>
      </c>
      <c r="AM49" s="109">
        <v>1.3324939670548736E-2</v>
      </c>
      <c r="AN49" s="107" cm="1">
        <f t="array" ref="AN49">(AM49*(1+Table6[[#This Row],[Ιαν-24]]))/SUMPRODUCT(AM$2:AM$49,(1+'Monthly Returns'!AM$2:AM$49))</f>
        <v>1.3150951449766385E-2</v>
      </c>
      <c r="AO49" s="107" cm="1">
        <f t="array" ref="AO49">(AN49*(1+Table6[[#This Row],[Φεβ-24]]))/SUMPRODUCT(AN$2:AN$49,(1+'Monthly Returns'!AN$2:AN$49))</f>
        <v>1.143761703485734E-2</v>
      </c>
      <c r="AP49" s="107" cm="1">
        <f t="array" ref="AP49">(AO49*(1+Table6[[#This Row],[Μαρ-24]]))/SUMPRODUCT(AO$2:AO$49,(1+'Monthly Returns'!AO$2:AO$49))</f>
        <v>1.1466501781170264E-2</v>
      </c>
      <c r="AQ49" s="107" cm="1">
        <f t="array" ref="AQ49">(AP49*(1+Table6[[#This Row],[Απρ-24]]))/SUMPRODUCT(AP$2:AP$49,(1+'Monthly Returns'!AP$2:AP$49))</f>
        <v>1.1357271360873866E-2</v>
      </c>
      <c r="AR49" s="109">
        <v>1.3324939670548736E-2</v>
      </c>
      <c r="AS49" s="107" cm="1">
        <f t="array" ref="AS49">(AR49*(1+Table6[[#This Row],[Ιουν-24]]))/SUMPRODUCT(AR$2:AR$49,(1+'Monthly Returns'!AR$2:AR$49))</f>
        <v>1.2438030709155799E-2</v>
      </c>
      <c r="AT49" s="107" cm="1">
        <f t="array" ref="AT49">(AS49*(1+Table6[[#This Row],[Ιουλ-24]]))/SUMPRODUCT(AS$2:AS$49,(1+'Monthly Returns'!AS$2:AS$49))</f>
        <v>1.2989748950202464E-2</v>
      </c>
      <c r="AU49" s="107" cm="1">
        <f t="array" ref="AU49">(AT49*(1+Table6[[#This Row],[Αυγ-24]]))/SUMPRODUCT(AT$2:AT$49,(1+'Monthly Returns'!AT$2:AT$49))</f>
        <v>1.3883639758943599E-2</v>
      </c>
      <c r="AV49" s="107" cm="1">
        <f t="array" ref="AV49">(AU49*(1+Table6[[#This Row],[Σεπ-24]]))/SUMPRODUCT(AU$2:AU$49,(1+'Monthly Returns'!AU$2:AU$49))</f>
        <v>1.4601627166087146E-2</v>
      </c>
      <c r="AW49" s="107" cm="1">
        <f t="array" ref="AW49">(AV49*(1+Table6[[#This Row],[Οκτ-24]]))/SUMPRODUCT(AV$2:AV$49,(1+'Monthly Returns'!AV$2:AV$49))</f>
        <v>1.3700860756198138E-2</v>
      </c>
      <c r="AX49" s="107" cm="1">
        <f t="array" ref="AX49">(AW49*(1+Table6[[#This Row],[Νοε-24]]))/SUMPRODUCT(AW$2:AW$49,(1+'Monthly Returns'!AW$2:AW$49))</f>
        <v>1.4006269912899256E-2</v>
      </c>
      <c r="AY49" s="109">
        <v>1.3324939670548736E-2</v>
      </c>
      <c r="AZ49" s="107" cm="1">
        <f t="array" ref="AZ49">(AY49*(1+Table6[[#This Row],[Ιαν-25]]))/SUMPRODUCT(AY$2:AY$49,(1+'Monthly Returns'!AY$2:AY$49))</f>
        <v>1.2413950537401887E-2</v>
      </c>
      <c r="BA49" s="107" cm="1">
        <f t="array" ref="BA49">(AZ49*(1+Table6[[#This Row],[Φεβ-25]]))/SUMPRODUCT(AZ$2:AZ$49,(1+'Monthly Returns'!AZ$2:AZ$49))</f>
        <v>1.2042148544594181E-2</v>
      </c>
      <c r="BB49" s="107" cm="1">
        <f t="array" ref="BB49">(BA49*(1+Table6[[#This Row],[Μαρ-25]]))/SUMPRODUCT(BA$2:BA$49,(1+'Monthly Returns'!BA$2:BA$49))</f>
        <v>1.0270559075915687E-2</v>
      </c>
      <c r="BC49" s="107" cm="1">
        <f t="array" ref="BC49">(BB49*(1+Table6[[#This Row],[Απρ-25]]))/SUMPRODUCT(BB$2:BB$49,(1+'Monthly Returns'!BB$2:BB$49))</f>
        <v>1.189899841488906E-2</v>
      </c>
      <c r="BD49" s="109">
        <v>1.3324939670548736E-2</v>
      </c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</row>
    <row r="50" spans="1:92">
      <c r="A50" s="110"/>
      <c r="B50" s="110" t="s">
        <v>2003</v>
      </c>
      <c r="C50" s="107">
        <f>SUBTOTAL(109,C2:C49)</f>
        <v>0.99999999999999989</v>
      </c>
      <c r="D50" s="107">
        <f>SUBTOTAL(109,D2:D49)</f>
        <v>0.99999999999999956</v>
      </c>
      <c r="E50" s="107">
        <f>SUBTOTAL(109,E2:E49)</f>
        <v>1</v>
      </c>
      <c r="F50" s="107">
        <f>SUBTOTAL(109,F2:F49)</f>
        <v>0.99999999999999989</v>
      </c>
      <c r="G50" s="107">
        <f>SUBTOTAL(109,G2:G49)</f>
        <v>1</v>
      </c>
      <c r="H50" s="107">
        <f>SUBTOTAL(109,H2:H49)</f>
        <v>0.99999999999999989</v>
      </c>
      <c r="I50" s="107">
        <f>SUBTOTAL(109,I2:I49)</f>
        <v>0.99999999999999989</v>
      </c>
      <c r="J50" s="107">
        <f>SUBTOTAL(109,J2:J49)</f>
        <v>1</v>
      </c>
      <c r="K50" s="107">
        <f>SUBTOTAL(109,K2:K49)</f>
        <v>1.0000000000000002</v>
      </c>
      <c r="L50" s="107">
        <f>SUBTOTAL(109,L2:L49)</f>
        <v>1.0000000000000002</v>
      </c>
      <c r="M50" s="107">
        <f>SUBTOTAL(109,M2:M49)</f>
        <v>1.0000000000000004</v>
      </c>
      <c r="N50" s="107">
        <f>SUBTOTAL(109,N2:N49)</f>
        <v>1.0000000000000002</v>
      </c>
      <c r="O50" s="107">
        <f>SUBTOTAL(109,O2:O49)</f>
        <v>0.99999999999999989</v>
      </c>
      <c r="P50" s="107">
        <f>SUBTOTAL(109,P2:P49)</f>
        <v>1.0000000000000004</v>
      </c>
      <c r="Q50" s="107">
        <f>SUBTOTAL(109,Q2:Q49)</f>
        <v>0.99999999999999989</v>
      </c>
      <c r="R50" s="107">
        <f>SUBTOTAL(109,R2:R49)</f>
        <v>1</v>
      </c>
      <c r="S50" s="107">
        <f>SUBTOTAL(109,S2:S49)</f>
        <v>0.99999999999999933</v>
      </c>
      <c r="T50" s="107">
        <f>SUBTOTAL(109,T2:T49)</f>
        <v>0.99999999999999989</v>
      </c>
      <c r="U50" s="107">
        <f>SUBTOTAL(109,U2:U49)</f>
        <v>1</v>
      </c>
      <c r="V50" s="107">
        <f>SUBTOTAL(109,V2:V49)</f>
        <v>0.99999999999999978</v>
      </c>
      <c r="W50" s="107">
        <f>SUBTOTAL(109,W2:W49)</f>
        <v>0.99999999999999978</v>
      </c>
      <c r="X50" s="107">
        <f>SUBTOTAL(109,X2:X49)</f>
        <v>0.99999999999999956</v>
      </c>
      <c r="Y50" s="107">
        <f>SUBTOTAL(109,Y2:Y49)</f>
        <v>0.99999999999999956</v>
      </c>
      <c r="Z50" s="107">
        <f>SUBTOTAL(109,Z2:Z49)</f>
        <v>0.99999999999999967</v>
      </c>
      <c r="AA50" s="107">
        <f>SUBTOTAL(109,AA2:AA49)</f>
        <v>0.99999999999999989</v>
      </c>
      <c r="AB50" s="107">
        <f>SUBTOTAL(109,AB2:AB49)</f>
        <v>0.99999999999999978</v>
      </c>
      <c r="AC50" s="107">
        <f>SUBTOTAL(109,AC2:AC49)</f>
        <v>1.0000000000000002</v>
      </c>
      <c r="AD50" s="107">
        <f>SUBTOTAL(109,AD2:AD49)</f>
        <v>0.99999999999999978</v>
      </c>
      <c r="AE50" s="107">
        <f>SUBTOTAL(109,AE2:AE49)</f>
        <v>1.0000000000000002</v>
      </c>
      <c r="AF50" s="107">
        <f>SUBTOTAL(109,AF2:AF49)</f>
        <v>0.99999999999999989</v>
      </c>
      <c r="AG50" s="107">
        <f>SUBTOTAL(109,AG2:AG49)</f>
        <v>1</v>
      </c>
      <c r="AH50" s="107">
        <f>SUBTOTAL(109,AH2:AH49)</f>
        <v>0.99999999999999989</v>
      </c>
      <c r="AI50" s="107">
        <f>SUBTOTAL(109,AI2:AI49)</f>
        <v>1.0000000000000002</v>
      </c>
      <c r="AJ50" s="107">
        <f>SUBTOTAL(109,AJ2:AJ49)</f>
        <v>0.99999999999999956</v>
      </c>
      <c r="AK50" s="107">
        <f>SUBTOTAL(109,AK2:AK49)</f>
        <v>0.99999999999999978</v>
      </c>
      <c r="AL50" s="107">
        <f>SUBTOTAL(109,AL2:AL49)</f>
        <v>0.99999999999999989</v>
      </c>
      <c r="AM50" s="107">
        <f>SUBTOTAL(109,AM2:AM49)</f>
        <v>0.99999999999999989</v>
      </c>
      <c r="AN50" s="107">
        <f>SUBTOTAL(109,AN2:AN49)</f>
        <v>1.0000000000000002</v>
      </c>
      <c r="AO50" s="107">
        <f>SUBTOTAL(109,AO2:AO49)</f>
        <v>1.0000000000000002</v>
      </c>
      <c r="AP50" s="107">
        <f>SUBTOTAL(109,AP2:AP49)</f>
        <v>0.99999999999999978</v>
      </c>
      <c r="AQ50" s="107">
        <f>SUBTOTAL(109,AQ2:AQ49)</f>
        <v>1</v>
      </c>
      <c r="AR50" s="107">
        <f>SUBTOTAL(109,AR2:AR49)</f>
        <v>0.99999999999999989</v>
      </c>
      <c r="AS50" s="107">
        <f>SUBTOTAL(109,AS2:AS49)</f>
        <v>0.99999999999999967</v>
      </c>
      <c r="AT50" s="107">
        <f>SUBTOTAL(109,AT2:AT49)</f>
        <v>1.0000000000000002</v>
      </c>
      <c r="AU50" s="107">
        <f>SUBTOTAL(109,AU2:AU49)</f>
        <v>1.0000000000000004</v>
      </c>
      <c r="AV50" s="107">
        <f>SUBTOTAL(109,AV2:AV49)</f>
        <v>0.99999999999999944</v>
      </c>
      <c r="AW50" s="107">
        <f>SUBTOTAL(109,AW2:AW49)</f>
        <v>1</v>
      </c>
      <c r="AX50" s="107">
        <f>SUBTOTAL(109,AX2:AX49)</f>
        <v>0.99999999999999967</v>
      </c>
      <c r="AY50" s="107">
        <f>SUBTOTAL(109,AY2:AY49)</f>
        <v>0.99999999999999989</v>
      </c>
      <c r="AZ50" s="107">
        <f>SUBTOTAL(109,AZ2:AZ49)</f>
        <v>1.0000000000000004</v>
      </c>
      <c r="BA50" s="107">
        <f>SUBTOTAL(109,BA2:BA49)</f>
        <v>0.99999999999999933</v>
      </c>
      <c r="BB50" s="107">
        <f>SUBTOTAL(109,BB2:BB49)</f>
        <v>0.99999999999999967</v>
      </c>
      <c r="BC50" s="107">
        <f>SUBTOTAL(109,BC2:BC49)</f>
        <v>0.99999999999999967</v>
      </c>
      <c r="BD50" s="107">
        <f>SUBTOTAL(109,BD2:BD49)</f>
        <v>0.99999999999999989</v>
      </c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106"/>
      <c r="CK50" s="106"/>
      <c r="CL50" s="106"/>
      <c r="CM50" s="106"/>
      <c r="CN50" s="106"/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D469C-B394-447C-B83C-B03DC99F367F}">
  <sheetPr>
    <tabColor theme="9" tint="-0.499984740745262"/>
  </sheetPr>
  <dimension ref="A1:CJ113"/>
  <sheetViews>
    <sheetView workbookViewId="0">
      <pane xSplit="2" ySplit="1" topLeftCell="AZ2" activePane="bottomRight" state="frozen"/>
      <selection pane="bottomRight" activeCell="BF3" sqref="BF3"/>
      <selection pane="bottomLeft"/>
      <selection pane="topRight"/>
    </sheetView>
  </sheetViews>
  <sheetFormatPr defaultRowHeight="15"/>
  <cols>
    <col min="1" max="1" width="11.85546875" style="62" bestFit="1" customWidth="1"/>
    <col min="2" max="2" width="20.42578125" style="62" customWidth="1"/>
    <col min="3" max="3" width="12.7109375" style="62" customWidth="1"/>
    <col min="4" max="5" width="11.5703125" style="62" bestFit="1" customWidth="1"/>
    <col min="6" max="6" width="12" style="62" customWidth="1"/>
    <col min="7" max="9" width="11.5703125" style="62" bestFit="1" customWidth="1"/>
    <col min="10" max="10" width="12.5703125" style="62" bestFit="1" customWidth="1"/>
    <col min="11" max="11" width="13" style="62" bestFit="1" customWidth="1"/>
    <col min="12" max="12" width="12.5703125" style="62" bestFit="1" customWidth="1"/>
    <col min="13" max="13" width="13" style="62" bestFit="1" customWidth="1"/>
    <col min="14" max="14" width="12.5703125" style="62" bestFit="1" customWidth="1"/>
    <col min="15" max="15" width="13" style="129" bestFit="1" customWidth="1"/>
    <col min="16" max="16" width="13" style="62" bestFit="1" customWidth="1"/>
    <col min="17" max="18" width="12.5703125" style="62" bestFit="1" customWidth="1"/>
    <col min="19" max="19" width="13" style="62" bestFit="1" customWidth="1"/>
    <col min="20" max="20" width="13" style="129" bestFit="1" customWidth="1"/>
    <col min="21" max="21" width="12.5703125" style="62" bestFit="1" customWidth="1"/>
    <col min="22" max="23" width="13" style="62" bestFit="1" customWidth="1"/>
    <col min="24" max="26" width="12.5703125" style="62" bestFit="1" customWidth="1"/>
    <col min="27" max="27" width="12.42578125" style="129" customWidth="1"/>
    <col min="28" max="28" width="13.28515625" style="62" bestFit="1" customWidth="1"/>
    <col min="29" max="29" width="13.140625" style="62" customWidth="1"/>
    <col min="30" max="30" width="12.5703125" style="62" bestFit="1" customWidth="1"/>
    <col min="31" max="31" width="13" style="62" bestFit="1" customWidth="1"/>
    <col min="32" max="32" width="12.5703125" style="129" bestFit="1" customWidth="1"/>
    <col min="33" max="33" width="12.5703125" style="62" bestFit="1" customWidth="1"/>
    <col min="34" max="36" width="13" style="62" bestFit="1" customWidth="1"/>
    <col min="37" max="38" width="12.5703125" style="62" bestFit="1" customWidth="1"/>
    <col min="39" max="39" width="12.5703125" style="129" bestFit="1" customWidth="1"/>
    <col min="40" max="41" width="12.5703125" style="62" bestFit="1" customWidth="1"/>
    <col min="42" max="42" width="13" style="62" bestFit="1" customWidth="1"/>
    <col min="43" max="43" width="12.5703125" style="62" bestFit="1" customWidth="1"/>
    <col min="44" max="44" width="12.5703125" style="129" bestFit="1" customWidth="1"/>
    <col min="45" max="46" width="12.5703125" style="62" bestFit="1" customWidth="1"/>
    <col min="47" max="48" width="13" style="62" bestFit="1" customWidth="1"/>
    <col min="49" max="50" width="12.5703125" style="62" bestFit="1" customWidth="1"/>
    <col min="51" max="51" width="12.5703125" style="129" bestFit="1" customWidth="1"/>
    <col min="52" max="52" width="12.5703125" style="62" bestFit="1" customWidth="1"/>
    <col min="53" max="53" width="13" style="62" bestFit="1" customWidth="1"/>
    <col min="54" max="55" width="12.5703125" style="62" bestFit="1" customWidth="1"/>
    <col min="56" max="56" width="13" style="129" bestFit="1" customWidth="1"/>
    <col min="57" max="57" width="0.140625" style="62" customWidth="1"/>
    <col min="58" max="58" width="24" style="141" customWidth="1"/>
    <col min="59" max="59" width="33.28515625" style="62" customWidth="1"/>
    <col min="60" max="60" width="25.5703125" style="74" customWidth="1"/>
    <col min="61" max="61" width="14" style="74" customWidth="1"/>
    <col min="62" max="62" width="6.140625" style="74" customWidth="1"/>
    <col min="63" max="63" width="1.28515625" style="159" customWidth="1"/>
    <col min="64" max="64" width="9.140625" style="62"/>
    <col min="65" max="65" width="17" style="62" customWidth="1"/>
    <col min="66" max="66" width="25" style="62" customWidth="1"/>
    <col min="67" max="79" width="9.140625" style="62"/>
    <col min="80" max="80" width="1.28515625" style="156" customWidth="1"/>
    <col min="81" max="81" width="9.140625" style="62"/>
    <col min="82" max="82" width="26.7109375" style="62" bestFit="1" customWidth="1"/>
    <col min="83" max="83" width="13.28515625" style="62" bestFit="1" customWidth="1"/>
    <col min="84" max="84" width="26.42578125" style="62" bestFit="1" customWidth="1"/>
    <col min="85" max="87" width="9.140625" style="62"/>
    <col min="88" max="88" width="1.7109375" style="156" customWidth="1"/>
    <col min="89" max="16384" width="9.140625" style="62"/>
  </cols>
  <sheetData>
    <row r="1" spans="1:84">
      <c r="A1" s="138" t="s">
        <v>16</v>
      </c>
      <c r="B1" s="138" t="s">
        <v>17</v>
      </c>
      <c r="C1" s="183" t="s">
        <v>1913</v>
      </c>
      <c r="D1" s="183" t="s">
        <v>1914</v>
      </c>
      <c r="E1" s="183" t="s">
        <v>1915</v>
      </c>
      <c r="F1" s="183" t="s">
        <v>1916</v>
      </c>
      <c r="G1" s="183" t="s">
        <v>1917</v>
      </c>
      <c r="H1" s="183" t="s">
        <v>1918</v>
      </c>
      <c r="I1" s="183" t="s">
        <v>1919</v>
      </c>
      <c r="J1" s="183" t="s">
        <v>1920</v>
      </c>
      <c r="K1" s="183" t="s">
        <v>1921</v>
      </c>
      <c r="L1" s="183" t="s">
        <v>1922</v>
      </c>
      <c r="M1" s="183" t="s">
        <v>1923</v>
      </c>
      <c r="N1" s="183" t="s">
        <v>1924</v>
      </c>
      <c r="O1" s="183" t="s">
        <v>1925</v>
      </c>
      <c r="P1" s="183" t="s">
        <v>1926</v>
      </c>
      <c r="Q1" s="183" t="s">
        <v>1927</v>
      </c>
      <c r="R1" s="183" t="s">
        <v>1928</v>
      </c>
      <c r="S1" s="183" t="s">
        <v>1929</v>
      </c>
      <c r="T1" s="183" t="s">
        <v>1930</v>
      </c>
      <c r="U1" s="183" t="s">
        <v>1931</v>
      </c>
      <c r="V1" s="183" t="s">
        <v>1932</v>
      </c>
      <c r="W1" s="183" t="s">
        <v>1933</v>
      </c>
      <c r="X1" s="183" t="s">
        <v>1934</v>
      </c>
      <c r="Y1" s="183" t="s">
        <v>1935</v>
      </c>
      <c r="Z1" s="183" t="s">
        <v>1936</v>
      </c>
      <c r="AA1" s="183" t="s">
        <v>1937</v>
      </c>
      <c r="AB1" s="183" t="s">
        <v>1938</v>
      </c>
      <c r="AC1" s="183" t="s">
        <v>1939</v>
      </c>
      <c r="AD1" s="183" t="s">
        <v>1940</v>
      </c>
      <c r="AE1" s="183" t="s">
        <v>1941</v>
      </c>
      <c r="AF1" s="183" t="s">
        <v>1942</v>
      </c>
      <c r="AG1" s="183" t="s">
        <v>1943</v>
      </c>
      <c r="AH1" s="183" t="s">
        <v>1944</v>
      </c>
      <c r="AI1" s="183" t="s">
        <v>1945</v>
      </c>
      <c r="AJ1" s="183" t="s">
        <v>1946</v>
      </c>
      <c r="AK1" s="183" t="s">
        <v>1947</v>
      </c>
      <c r="AL1" s="183" t="s">
        <v>1948</v>
      </c>
      <c r="AM1" s="183" t="s">
        <v>1949</v>
      </c>
      <c r="AN1" s="183" t="s">
        <v>1950</v>
      </c>
      <c r="AO1" s="183" t="s">
        <v>1951</v>
      </c>
      <c r="AP1" s="183" t="s">
        <v>1952</v>
      </c>
      <c r="AQ1" s="183" t="s">
        <v>1953</v>
      </c>
      <c r="AR1" s="183" t="s">
        <v>1954</v>
      </c>
      <c r="AS1" s="183" t="s">
        <v>1955</v>
      </c>
      <c r="AT1" s="183" t="s">
        <v>1956</v>
      </c>
      <c r="AU1" s="183" t="s">
        <v>1957</v>
      </c>
      <c r="AV1" s="183" t="s">
        <v>1958</v>
      </c>
      <c r="AW1" s="183" t="s">
        <v>1959</v>
      </c>
      <c r="AX1" s="183" t="s">
        <v>1960</v>
      </c>
      <c r="AY1" s="183" t="s">
        <v>1961</v>
      </c>
      <c r="AZ1" s="183" t="s">
        <v>1962</v>
      </c>
      <c r="BA1" s="183" t="s">
        <v>1963</v>
      </c>
      <c r="BB1" s="183" t="s">
        <v>1964</v>
      </c>
      <c r="BC1" s="183" t="s">
        <v>1965</v>
      </c>
      <c r="BD1" s="183" t="s">
        <v>1966</v>
      </c>
      <c r="BE1" s="138" t="s">
        <v>2004</v>
      </c>
      <c r="BF1" s="140" t="s">
        <v>2005</v>
      </c>
      <c r="BG1" s="139" t="s">
        <v>5</v>
      </c>
      <c r="BH1" s="139" t="s">
        <v>2006</v>
      </c>
      <c r="BI1" s="139" t="s">
        <v>2007</v>
      </c>
      <c r="BJ1" s="62"/>
      <c r="BK1" s="156"/>
    </row>
    <row r="2" spans="1:84">
      <c r="A2" s="110" t="s">
        <v>36</v>
      </c>
      <c r="B2" s="110" t="s">
        <v>37</v>
      </c>
      <c r="C2" s="126">
        <f>Table684[[#This Row],[Ιαν-21]]*Table6[[#This Row],[Ιαν-21]]</f>
        <v>-1.3227812777472402E-3</v>
      </c>
      <c r="D2" s="107">
        <f>Table684[[#This Row],[Φεβ-21]]*Table6[[#This Row],[Φεβ-21]]</f>
        <v>4.0985066270365477E-3</v>
      </c>
      <c r="E2" s="107">
        <f>Table684[[#This Row],[Μαρ-21]]*Table6[[#This Row],[Μαρ-21]]</f>
        <v>2.1142866490172114E-3</v>
      </c>
      <c r="F2" s="107">
        <f>Table684[[#This Row],[Απρ-21]]*Table6[[#This Row],[Απρ-21]]</f>
        <v>1.1665624955540241E-4</v>
      </c>
      <c r="G2" s="107">
        <f>Table684[[#This Row],[Μαϊ-21]]*Table6[[#This Row],[Μαϊ-21]]</f>
        <v>1.4593928621934225E-3</v>
      </c>
      <c r="H2" s="126">
        <f>Table684[[#This Row],[Ιουν-21]]*Table6[[#This Row],[Ιουν-21]]</f>
        <v>-8.4648570180260118E-4</v>
      </c>
      <c r="I2" s="107">
        <f>Table684[[#This Row],[Ιουλ-21]]*Table6[[#This Row],[Ιουλ-21]]</f>
        <v>2.0144461278212955E-5</v>
      </c>
      <c r="J2" s="107">
        <f>Table684[[#This Row],[Αυγ-21]]*Table6[[#This Row],[Αυγ-21]]</f>
        <v>6.2585461726768717E-4</v>
      </c>
      <c r="K2" s="107">
        <f>Table684[[#This Row],[Σεπ-21]]*Table6[[#This Row],[Σεπ-21]]</f>
        <v>5.1626977003279065E-4</v>
      </c>
      <c r="L2" s="107">
        <f>Table684[[#This Row],[Οκτ-21]]*Table6[[#This Row],[Οκτ-21]]</f>
        <v>9.7241200847018579E-4</v>
      </c>
      <c r="M2" s="107">
        <f>Table684[[#This Row],[Νοε-21]]*Table6[[#This Row],[Νοε-21]]</f>
        <v>-2.5979703742221132E-3</v>
      </c>
      <c r="N2" s="107">
        <f>Table684[[#This Row],[Δεκ-21]]*Table6[[#This Row],[Δεκ-21]]</f>
        <v>1.6007072593933994E-3</v>
      </c>
      <c r="O2" s="126">
        <f>Table684[[#This Row],[Ιαν-22]]*Table6[[#This Row],[Ιαν-22]]</f>
        <v>3.5816484151480533E-3</v>
      </c>
      <c r="P2" s="107">
        <f>Table684[[#This Row],[Φεβ-22]]*Table6[[#This Row],[Φεβ-22]]</f>
        <v>-3.4078766024761508E-3</v>
      </c>
      <c r="Q2" s="107">
        <f>Table684[[#This Row],[Μαρ-22]]*Table6[[#This Row],[Μαρ-22]]</f>
        <v>-2.27838529865447E-3</v>
      </c>
      <c r="R2" s="107">
        <f>Table684[[#This Row],[Απρ-22]]*Table6[[#This Row],[Απρ-22]]</f>
        <v>-1.3754052447757438E-3</v>
      </c>
      <c r="S2" s="107">
        <f>Table684[[#This Row],[Μαϊ-22]]*Table6[[#This Row],[Μαϊ-22]]</f>
        <v>1.6935181390217123E-3</v>
      </c>
      <c r="T2" s="126">
        <f>Table684[[#This Row],[Ιουν-22]]*Table6[[#This Row],[Ιουν-22]]</f>
        <v>-2.9072893323749504E-3</v>
      </c>
      <c r="U2" s="107">
        <f>Table684[[#This Row],[Ιουλ-22]]*Table6[[#This Row],[Ιουλ-22]]</f>
        <v>-6.4874720125223349E-4</v>
      </c>
      <c r="V2" s="107">
        <f>Table684[[#This Row],[Αυγ-22]]*Table6[[#This Row],[Αυγ-22]]</f>
        <v>-6.571652093675759E-5</v>
      </c>
      <c r="W2" s="107">
        <f>Table684[[#This Row],[Σεπ-22]]*Table6[[#This Row],[Σεπ-22]]</f>
        <v>-2.5239192766608628E-4</v>
      </c>
      <c r="X2" s="107">
        <f>Table684[[#This Row],[Οκτ-22]]*Table6[[#This Row],[Οκτ-22]]</f>
        <v>2.9895208038569899E-3</v>
      </c>
      <c r="Y2" s="107">
        <f>Table684[[#This Row],[Νοε-22]]*Table6[[#This Row],[Νοε-22]]</f>
        <v>3.2711686885893349E-3</v>
      </c>
      <c r="Z2" s="107">
        <f>Table684[[#This Row],[Δεκ-22]]*Table6[[#This Row],[Δεκ-22]]</f>
        <v>-5.185502314364632E-4</v>
      </c>
      <c r="AA2" s="126">
        <f>Table684[[#This Row],[Ιαν-23]]*Table6[[#This Row],[Ιαν-23]]</f>
        <v>3.7655645286316271E-3</v>
      </c>
      <c r="AB2" s="107">
        <f>Table684[[#This Row],[Φεβ-23]]*Table6[[#This Row],[Φεβ-23]]</f>
        <v>1.5771727162353854E-3</v>
      </c>
      <c r="AC2" s="107">
        <f>Table684[[#This Row],[Μαρ-23]]*Table6[[#This Row],[Μαρ-23]]</f>
        <v>-1.9849414446467101E-3</v>
      </c>
      <c r="AD2" s="107">
        <f>Table684[[#This Row],[Απρ-23]]*Table6[[#This Row],[Απρ-23]]</f>
        <v>1.7352991625074762E-4</v>
      </c>
      <c r="AE2" s="107">
        <f>Table684[[#This Row],[Μαϊ-23]]*Table6[[#This Row],[Μαϊ-23]]</f>
        <v>-1.4432930078105883E-3</v>
      </c>
      <c r="AF2" s="126">
        <f>Table684[[#This Row],[Ιουν-23]]*Table6[[#This Row],[Ιουν-23]]</f>
        <v>2.6738573421842609E-3</v>
      </c>
      <c r="AG2" s="107">
        <f>Table684[[#This Row],[Ιουλ-23]]*Table6[[#This Row],[Ιουλ-23]]</f>
        <v>2.4277804020490729E-3</v>
      </c>
      <c r="AH2" s="107">
        <f>Table684[[#This Row],[Αυγ-23]]*Table6[[#This Row],[Αυγ-23]]</f>
        <v>-1.630423308560721E-3</v>
      </c>
      <c r="AI2" s="107">
        <f>Table684[[#This Row],[Σεπ-23]]*Table6[[#This Row],[Σεπ-23]]</f>
        <v>-3.3768347918322882E-4</v>
      </c>
      <c r="AJ2" s="107">
        <f>Table684[[#This Row],[Οκτ-23]]*Table6[[#This Row],[Οκτ-23]]</f>
        <v>1.757133933610959E-4</v>
      </c>
      <c r="AK2" s="107">
        <f>Table684[[#This Row],[Νοε-23]]*Table6[[#This Row],[Νοε-23]]</f>
        <v>3.7445419114256308E-3</v>
      </c>
      <c r="AL2" s="107">
        <f>Table684[[#This Row],[Δεκ-23]]*Table6[[#This Row],[Δεκ-23]]</f>
        <v>2.0088236970161482E-5</v>
      </c>
      <c r="AM2" s="126">
        <f>Table684[[#This Row],[Ιαν-24]]*Table6[[#This Row],[Ιαν-24]]</f>
        <v>1.9594139782673024E-3</v>
      </c>
      <c r="AN2" s="107">
        <f>Table684[[#This Row],[Φεβ-24]]*Table6[[#This Row],[Φεβ-24]]</f>
        <v>6.5780397590688513E-4</v>
      </c>
      <c r="AO2" s="107">
        <f>Table684[[#This Row],[Μαρ-24]]*Table6[[#This Row],[Μαρ-24]]</f>
        <v>3.6010395712441534E-3</v>
      </c>
      <c r="AP2" s="107">
        <f>Table684[[#This Row],[Απρ-24]]*Table6[[#This Row],[Απρ-24]]</f>
        <v>1.3102281024746246E-3</v>
      </c>
      <c r="AQ2" s="107">
        <f>Table684[[#This Row],[Μαϊ-24]]*Table6[[#This Row],[Μαϊ-24]]</f>
        <v>1.8650618570499452E-3</v>
      </c>
      <c r="AR2" s="126">
        <f>Table684[[#This Row],[Ιουν-24]]*Table6[[#This Row],[Ιουν-24]]</f>
        <v>-8.8185418516482689E-4</v>
      </c>
      <c r="AS2" s="107">
        <f>Table684[[#This Row],[Ιουλ-24]]*Table6[[#This Row],[Ιουλ-24]]</f>
        <v>1.8485867630913787E-3</v>
      </c>
      <c r="AT2" s="107">
        <f>Table684[[#This Row],[Αυγ-24]]*Table6[[#This Row],[Αυγ-24]]</f>
        <v>8.9305269196793139E-5</v>
      </c>
      <c r="AU2" s="107">
        <f>Table684[[#This Row],[Σεπ-24]]*Table6[[#This Row],[Σεπ-24]]</f>
        <v>4.5757297486411321E-4</v>
      </c>
      <c r="AV2" s="107">
        <f>Table684[[#This Row],[Οκτ-24]]*Table6[[#This Row],[Οκτ-24]]</f>
        <v>6.2280253398177101E-4</v>
      </c>
      <c r="AW2" s="107">
        <f>Table684[[#This Row],[Νοε-24]]*Table6[[#This Row],[Νοε-24]]</f>
        <v>-9.2599696349116674E-4</v>
      </c>
      <c r="AX2" s="107">
        <f>Table684[[#This Row],[Δεκ-24]]*Table6[[#This Row],[Δεκ-24]]</f>
        <v>1.5540023720950131E-3</v>
      </c>
      <c r="AY2" s="126">
        <f>Table684[[#This Row],[Ιαν-25]]*Table6[[#This Row],[Ιαν-25]]</f>
        <v>2.0136456527560485E-3</v>
      </c>
      <c r="AZ2" s="107">
        <f>Table684[[#This Row],[Φεβ-25]]*Table6[[#This Row],[Φεβ-25]]</f>
        <v>3.0627010167030766E-3</v>
      </c>
      <c r="BA2" s="107">
        <f>Table684[[#This Row],[Μαρ-25]]*Table6[[#This Row],[Μαρ-25]]</f>
        <v>5.1119123581394668E-6</v>
      </c>
      <c r="BB2" s="107">
        <f>Table684[[#This Row],[Απρ-25]]*Table6[[#This Row],[Απρ-25]]</f>
        <v>-2.8768236641632359E-4</v>
      </c>
      <c r="BC2" s="107">
        <f>Table684[[#This Row],[Μαϊ-25]]*Table6[[#This Row],[Μαϊ-25]]</f>
        <v>2.2075570347473046E-3</v>
      </c>
      <c r="BD2" s="126">
        <f>Table684[[#This Row],[Ιουν-25]]*Table6[[#This Row],[Ιουν-25]]</f>
        <v>-8.960015785097171E-5</v>
      </c>
      <c r="BE2" s="107"/>
      <c r="BF2" s="153" cm="1">
        <f t="array" ref="BF2">PRODUCT(1+Table68[[#This Row],[Ιαν-21]:[Ιουν-25]])-1</f>
        <v>3.5588065061597618E-2</v>
      </c>
      <c r="BG2" s="112" t="s">
        <v>34</v>
      </c>
      <c r="BH2" s="112" t="str">
        <f>IF(Table68[[#This Row],[Cumulative Return ]]&lt;0,"Negative", IF(Table68[[#This Row],[Cumulative Return ]]&lt;0.025,"Positive","High Positive"))</f>
        <v>High Positive</v>
      </c>
      <c r="BI2" s="113">
        <f>SLOPE(C2:BD2,$C$54:$BD$54)</f>
        <v>2.8531159587722531E-2</v>
      </c>
      <c r="BJ2" s="113"/>
      <c r="BK2" s="157"/>
    </row>
    <row r="3" spans="1:84">
      <c r="A3" s="110" t="s">
        <v>45</v>
      </c>
      <c r="B3" s="110" t="s">
        <v>46</v>
      </c>
      <c r="C3" s="126">
        <f>Table684[[#This Row],[Ιαν-21]]*Table6[[#This Row],[Ιαν-21]]</f>
        <v>-2.1353581478819306E-3</v>
      </c>
      <c r="D3" s="107">
        <f>Table684[[#This Row],[Φεβ-21]]*Table6[[#This Row],[Φεβ-21]]</f>
        <v>6.1700395097139607E-3</v>
      </c>
      <c r="E3" s="107">
        <f>Table684[[#This Row],[Μαρ-21]]*Table6[[#This Row],[Μαρ-21]]</f>
        <v>1.627592876114063E-3</v>
      </c>
      <c r="F3" s="107">
        <f>Table684[[#This Row],[Απρ-21]]*Table6[[#This Row],[Απρ-21]]</f>
        <v>8.828750106640008E-4</v>
      </c>
      <c r="G3" s="107">
        <f>Table684[[#This Row],[Μαϊ-21]]*Table6[[#This Row],[Μαϊ-21]]</f>
        <v>2.0598626302883293E-3</v>
      </c>
      <c r="H3" s="126">
        <f>Table684[[#This Row],[Ιουν-21]]*Table6[[#This Row],[Ιουν-21]]</f>
        <v>-1.4789640090388469E-3</v>
      </c>
      <c r="I3" s="107">
        <f>Table684[[#This Row],[Ιουλ-21]]*Table6[[#This Row],[Ιουλ-21]]</f>
        <v>-6.9438609520371813E-4</v>
      </c>
      <c r="J3" s="107">
        <f>Table684[[#This Row],[Αυγ-21]]*Table6[[#This Row],[Αυγ-21]]</f>
        <v>1.098482448456881E-3</v>
      </c>
      <c r="K3" s="107">
        <f>Table684[[#This Row],[Σεπ-21]]*Table6[[#This Row],[Σεπ-21]]</f>
        <v>1.5365471114201228E-3</v>
      </c>
      <c r="L3" s="107">
        <f>Table684[[#This Row],[Οκτ-21]]*Table6[[#This Row],[Οκτ-21]]</f>
        <v>1.2164620054100441E-3</v>
      </c>
      <c r="M3" s="107">
        <f>Table684[[#This Row],[Νοε-21]]*Table6[[#This Row],[Νοε-21]]</f>
        <v>-1.3332251964135464E-3</v>
      </c>
      <c r="N3" s="107">
        <f>Table684[[#This Row],[Δεκ-21]]*Table6[[#This Row],[Δεκ-21]]</f>
        <v>2.799637542471763E-3</v>
      </c>
      <c r="O3" s="126">
        <f>Table684[[#This Row],[Ιαν-22]]*Table6[[#This Row],[Ιαν-22]]</f>
        <v>1.0164415567738892E-3</v>
      </c>
      <c r="P3" s="107">
        <f>Table684[[#This Row],[Φεβ-22]]*Table6[[#This Row],[Φεβ-22]]</f>
        <v>-4.8217779745959857E-3</v>
      </c>
      <c r="Q3" s="107">
        <f>Table684[[#This Row],[Μαρ-22]]*Table6[[#This Row],[Μαρ-22]]</f>
        <v>-2.7533011931093034E-4</v>
      </c>
      <c r="R3" s="107">
        <f>Table684[[#This Row],[Απρ-22]]*Table6[[#This Row],[Απρ-22]]</f>
        <v>-1.0436009790597829E-3</v>
      </c>
      <c r="S3" s="107">
        <f>Table684[[#This Row],[Μαϊ-22]]*Table6[[#This Row],[Μαϊ-22]]</f>
        <v>3.3994927082642359E-3</v>
      </c>
      <c r="T3" s="126">
        <f>Table684[[#This Row],[Ιουν-22]]*Table6[[#This Row],[Ιουν-22]]</f>
        <v>-4.0380702718701101E-3</v>
      </c>
      <c r="U3" s="107">
        <f>Table684[[#This Row],[Ιουλ-22]]*Table6[[#This Row],[Ιουλ-22]]</f>
        <v>3.5967099885654969E-4</v>
      </c>
      <c r="V3" s="107">
        <f>Table684[[#This Row],[Αυγ-22]]*Table6[[#This Row],[Αυγ-22]]</f>
        <v>2.5768409653012444E-4</v>
      </c>
      <c r="W3" s="107">
        <f>Table684[[#This Row],[Σεπ-22]]*Table6[[#This Row],[Σεπ-22]]</f>
        <v>-1.6202547696510397E-3</v>
      </c>
      <c r="X3" s="107">
        <f>Table684[[#This Row],[Οκτ-22]]*Table6[[#This Row],[Οκτ-22]]</f>
        <v>2.3070527076529787E-3</v>
      </c>
      <c r="Y3" s="107">
        <f>Table684[[#This Row],[Νοε-22]]*Table6[[#This Row],[Νοε-22]]</f>
        <v>3.2777875888521579E-3</v>
      </c>
      <c r="Z3" s="107">
        <f>Table684[[#This Row],[Δεκ-22]]*Table6[[#This Row],[Δεκ-22]]</f>
        <v>-9.3085052526372785E-5</v>
      </c>
      <c r="AA3" s="126">
        <f>Table684[[#This Row],[Ιαν-23]]*Table6[[#This Row],[Ιαν-23]]</f>
        <v>5.0185070868509181E-3</v>
      </c>
      <c r="AB3" s="107">
        <f>Table684[[#This Row],[Φεβ-23]]*Table6[[#This Row],[Φεβ-23]]</f>
        <v>1.5509153864846758E-3</v>
      </c>
      <c r="AC3" s="107">
        <f>Table684[[#This Row],[Μαρ-23]]*Table6[[#This Row],[Μαρ-23]]</f>
        <v>-5.1272254885286733E-3</v>
      </c>
      <c r="AD3" s="107">
        <f>Table684[[#This Row],[Απρ-23]]*Table6[[#This Row],[Απρ-23]]</f>
        <v>1.5767909453566385E-3</v>
      </c>
      <c r="AE3" s="107">
        <f>Table684[[#This Row],[Μαϊ-23]]*Table6[[#This Row],[Μαϊ-23]]</f>
        <v>-3.6982005285395665E-4</v>
      </c>
      <c r="AF3" s="126">
        <f>Table684[[#This Row],[Ιουν-23]]*Table6[[#This Row],[Ιουν-23]]</f>
        <v>1.9027121239881793E-3</v>
      </c>
      <c r="AG3" s="107">
        <f>Table684[[#This Row],[Ιουλ-23]]*Table6[[#This Row],[Ιουλ-23]]</f>
        <v>1.1419309959774012E-3</v>
      </c>
      <c r="AH3" s="107">
        <f>Table684[[#This Row],[Αυγ-23]]*Table6[[#This Row],[Αυγ-23]]</f>
        <v>-1.5198552468432156E-4</v>
      </c>
      <c r="AI3" s="107">
        <f>Table684[[#This Row],[Σεπ-23]]*Table6[[#This Row],[Σεπ-23]]</f>
        <v>3.5863085653429572E-4</v>
      </c>
      <c r="AJ3" s="107">
        <f>Table684[[#This Row],[Οκτ-23]]*Table6[[#This Row],[Οκτ-23]]</f>
        <v>-3.093344033538599E-3</v>
      </c>
      <c r="AK3" s="107">
        <f>Table684[[#This Row],[Νοε-23]]*Table6[[#This Row],[Νοε-23]]</f>
        <v>1.8244627332728719E-3</v>
      </c>
      <c r="AL3" s="107">
        <f>Table684[[#This Row],[Δεκ-23]]*Table6[[#This Row],[Δεκ-23]]</f>
        <v>2.3220597859032158E-3</v>
      </c>
      <c r="AM3" s="126">
        <f>Table684[[#This Row],[Ιαν-24]]*Table6[[#This Row],[Ιαν-24]]</f>
        <v>-1.6617573135267941E-5</v>
      </c>
      <c r="AN3" s="107">
        <f>Table684[[#This Row],[Φεβ-24]]*Table6[[#This Row],[Φεβ-24]]</f>
        <v>-3.1184715045682134E-3</v>
      </c>
      <c r="AO3" s="107">
        <f>Table684[[#This Row],[Μαρ-24]]*Table6[[#This Row],[Μαρ-24]]</f>
        <v>4.4060578985263459E-3</v>
      </c>
      <c r="AP3" s="107">
        <f>Table684[[#This Row],[Απρ-24]]*Table6[[#This Row],[Απρ-24]]</f>
        <v>6.9816397245312347E-4</v>
      </c>
      <c r="AQ3" s="107">
        <f>Table684[[#This Row],[Μαϊ-24]]*Table6[[#This Row],[Μαϊ-24]]</f>
        <v>1.8578889850784451E-3</v>
      </c>
      <c r="AR3" s="126">
        <f>Table684[[#This Row],[Ιουν-24]]*Table6[[#This Row],[Ιουν-24]]</f>
        <v>-3.342901795711401E-3</v>
      </c>
      <c r="AS3" s="107">
        <f>Table684[[#This Row],[Ιουλ-24]]*Table6[[#This Row],[Ιουλ-24]]</f>
        <v>1.6261862333927237E-3</v>
      </c>
      <c r="AT3" s="107">
        <f>Table684[[#This Row],[Αυγ-24]]*Table6[[#This Row],[Αυγ-24]]</f>
        <v>-3.5514440709033133E-4</v>
      </c>
      <c r="AU3" s="107">
        <f>Table684[[#This Row],[Σεπ-24]]*Table6[[#This Row],[Σεπ-24]]</f>
        <v>-4.0473842261592124E-4</v>
      </c>
      <c r="AV3" s="107">
        <f>Table684[[#This Row],[Οκτ-24]]*Table6[[#This Row],[Οκτ-24]]</f>
        <v>4.7048611106010815E-4</v>
      </c>
      <c r="AW3" s="107">
        <f>Table684[[#This Row],[Νοε-24]]*Table6[[#This Row],[Νοε-24]]</f>
        <v>-2.4504522529185092E-3</v>
      </c>
      <c r="AX3" s="107">
        <f>Table684[[#This Row],[Δεκ-24]]*Table6[[#This Row],[Δεκ-24]]</f>
        <v>1.0169815871047087E-3</v>
      </c>
      <c r="AY3" s="126">
        <f>Table684[[#This Row],[Ιαν-25]]*Table6[[#This Row],[Ιαν-25]]</f>
        <v>3.0410158837540333E-3</v>
      </c>
      <c r="AZ3" s="107">
        <f>Table684[[#This Row],[Φεβ-25]]*Table6[[#This Row],[Φεβ-25]]</f>
        <v>3.1014489599573798E-3</v>
      </c>
      <c r="BA3" s="107">
        <f>Table684[[#This Row],[Μαρ-25]]*Table6[[#This Row],[Μαρ-25]]</f>
        <v>1.6762243388310409E-3</v>
      </c>
      <c r="BB3" s="107">
        <f>Table684[[#This Row],[Απρ-25]]*Table6[[#This Row],[Απρ-25]]</f>
        <v>-1.1101749269870587E-3</v>
      </c>
      <c r="BC3" s="107">
        <f>Table684[[#This Row],[Μαϊ-25]]*Table6[[#This Row],[Μαϊ-25]]</f>
        <v>3.2768392241123616E-3</v>
      </c>
      <c r="BD3" s="126">
        <f>Table684[[#This Row],[Ιουν-25]]*Table6[[#This Row],[Ιουν-25]]</f>
        <v>-2.9357712538973364E-4</v>
      </c>
      <c r="BE3" s="107"/>
      <c r="BF3" s="153" cm="1">
        <f t="array" ref="BF3">PRODUCT(1+Table68[[#This Row],[Ιαν-21]:[Ιουν-25]])-1</f>
        <v>2.7732144022799332E-2</v>
      </c>
      <c r="BG3" s="112" t="s">
        <v>34</v>
      </c>
      <c r="BH3" s="112" t="str">
        <f>IF(Table68[[#This Row],[Cumulative Return ]]&lt;0,"Negative", IF(Table68[[#This Row],[Cumulative Return ]]&lt;0.025,"Positive","High Positive"))</f>
        <v>High Positive</v>
      </c>
      <c r="BI3" s="113">
        <f>SLOPE(C3:BD3,$C$54:$BD$54)</f>
        <v>3.5712979632447864E-2</v>
      </c>
      <c r="BJ3" s="113"/>
      <c r="BK3" s="157"/>
      <c r="BM3" s="155" t="s">
        <v>16</v>
      </c>
      <c r="BN3" s="155" t="s">
        <v>2008</v>
      </c>
    </row>
    <row r="4" spans="1:84">
      <c r="A4" s="110" t="s">
        <v>56</v>
      </c>
      <c r="B4" s="110" t="s">
        <v>57</v>
      </c>
      <c r="C4" s="126">
        <f>Table684[[#This Row],[Ιαν-21]]*Table6[[#This Row],[Ιαν-21]]</f>
        <v>-1.6401993808107705E-3</v>
      </c>
      <c r="D4" s="107">
        <f>Table684[[#This Row],[Φεβ-21]]*Table6[[#This Row],[Φεβ-21]]</f>
        <v>5.1773427056888473E-3</v>
      </c>
      <c r="E4" s="107">
        <f>Table684[[#This Row],[Μαρ-21]]*Table6[[#This Row],[Μαρ-21]]</f>
        <v>-1.0543245493790433E-3</v>
      </c>
      <c r="F4" s="107">
        <f>Table684[[#This Row],[Απρ-21]]*Table6[[#This Row],[Απρ-21]]</f>
        <v>1.7113993000713308E-3</v>
      </c>
      <c r="G4" s="107">
        <f>Table684[[#This Row],[Μαϊ-21]]*Table6[[#This Row],[Μαϊ-21]]</f>
        <v>2.5851106838359725E-3</v>
      </c>
      <c r="H4" s="126">
        <f>Table684[[#This Row],[Ιουν-21]]*Table6[[#This Row],[Ιουν-21]]</f>
        <v>4.4216218247760221E-4</v>
      </c>
      <c r="I4" s="107">
        <f>Table684[[#This Row],[Ιουλ-21]]*Table6[[#This Row],[Ιουλ-21]]</f>
        <v>8.6649809066226692E-4</v>
      </c>
      <c r="J4" s="107">
        <f>Table684[[#This Row],[Αυγ-21]]*Table6[[#This Row],[Αυγ-21]]</f>
        <v>6.348875703993509E-4</v>
      </c>
      <c r="K4" s="107">
        <f>Table684[[#This Row],[Σεπ-21]]*Table6[[#This Row],[Σεπ-21]]</f>
        <v>7.7308042575537008E-4</v>
      </c>
      <c r="L4" s="107">
        <f>Table684[[#This Row],[Οκτ-21]]*Table6[[#This Row],[Οκτ-21]]</f>
        <v>1.9881299041300477E-3</v>
      </c>
      <c r="M4" s="107">
        <f>Table684[[#This Row],[Νοε-21]]*Table6[[#This Row],[Νοε-21]]</f>
        <v>-6.1457395262682415E-3</v>
      </c>
      <c r="N4" s="107">
        <f>Table684[[#This Row],[Δεκ-21]]*Table6[[#This Row],[Δεκ-21]]</f>
        <v>2.5745485542900269E-3</v>
      </c>
      <c r="O4" s="126">
        <f>Table684[[#This Row],[Ιαν-22]]*Table6[[#This Row],[Ιαν-22]]</f>
        <v>1.8057014267660739E-3</v>
      </c>
      <c r="P4" s="107">
        <f>Table684[[#This Row],[Φεβ-22]]*Table6[[#This Row],[Φεβ-22]]</f>
        <v>-1.6335539922603438E-3</v>
      </c>
      <c r="Q4" s="107">
        <f>Table684[[#This Row],[Μαρ-22]]*Table6[[#This Row],[Μαρ-22]]</f>
        <v>-3.9305292464190576E-4</v>
      </c>
      <c r="R4" s="107">
        <f>Table684[[#This Row],[Απρ-22]]*Table6[[#This Row],[Απρ-22]]</f>
        <v>3.9140944375310686E-4</v>
      </c>
      <c r="S4" s="107">
        <f>Table684[[#This Row],[Μαϊ-22]]*Table6[[#This Row],[Μαϊ-22]]</f>
        <v>1.0170409512907844E-4</v>
      </c>
      <c r="T4" s="126">
        <f>Table684[[#This Row],[Ιουν-22]]*Table6[[#This Row],[Ιουν-22]]</f>
        <v>-3.6410450110166801E-3</v>
      </c>
      <c r="U4" s="107">
        <f>Table684[[#This Row],[Ιουλ-22]]*Table6[[#This Row],[Ιουλ-22]]</f>
        <v>4.5740968720662151E-4</v>
      </c>
      <c r="V4" s="107">
        <f>Table684[[#This Row],[Αυγ-22]]*Table6[[#This Row],[Αυγ-22]]</f>
        <v>3.7140283578300097E-4</v>
      </c>
      <c r="W4" s="107">
        <f>Table684[[#This Row],[Σεπ-22]]*Table6[[#This Row],[Σεπ-22]]</f>
        <v>6.7588940570133737E-4</v>
      </c>
      <c r="X4" s="107">
        <f>Table684[[#This Row],[Οκτ-22]]*Table6[[#This Row],[Οκτ-22]]</f>
        <v>3.9952104875060502E-3</v>
      </c>
      <c r="Y4" s="107">
        <f>Table684[[#This Row],[Νοε-22]]*Table6[[#This Row],[Νοε-22]]</f>
        <v>2.1294265855160525E-3</v>
      </c>
      <c r="Z4" s="107">
        <f>Table684[[#This Row],[Δεκ-22]]*Table6[[#This Row],[Δεκ-22]]</f>
        <v>1.072854938366408E-4</v>
      </c>
      <c r="AA4" s="126">
        <f>Table684[[#This Row],[Ιαν-23]]*Table6[[#This Row],[Ιαν-23]]</f>
        <v>3.633634471645547E-3</v>
      </c>
      <c r="AB4" s="107">
        <f>Table684[[#This Row],[Φεβ-23]]*Table6[[#This Row],[Φεβ-23]]</f>
        <v>3.6583922940470652E-3</v>
      </c>
      <c r="AC4" s="107">
        <f>Table684[[#This Row],[Μαρ-23]]*Table6[[#This Row],[Μαρ-23]]</f>
        <v>-3.1687173629354939E-3</v>
      </c>
      <c r="AD4" s="107">
        <f>Table684[[#This Row],[Απρ-23]]*Table6[[#This Row],[Απρ-23]]</f>
        <v>1.605161700100144E-3</v>
      </c>
      <c r="AE4" s="107">
        <f>Table684[[#This Row],[Μαϊ-23]]*Table6[[#This Row],[Μαϊ-23]]</f>
        <v>-2.1291518604203245E-3</v>
      </c>
      <c r="AF4" s="126">
        <f>Table684[[#This Row],[Ιουν-23]]*Table6[[#This Row],[Ιουν-23]]</f>
        <v>3.6805678876627224E-3</v>
      </c>
      <c r="AG4" s="107">
        <f>Table684[[#This Row],[Ιουλ-23]]*Table6[[#This Row],[Ιουλ-23]]</f>
        <v>6.9607132890065458E-4</v>
      </c>
      <c r="AH4" s="107">
        <f>Table684[[#This Row],[Αυγ-23]]*Table6[[#This Row],[Αυγ-23]]</f>
        <v>2.1556143474645253E-4</v>
      </c>
      <c r="AI4" s="107">
        <f>Table684[[#This Row],[Σεπ-23]]*Table6[[#This Row],[Σεπ-23]]</f>
        <v>1.7346811138755172E-3</v>
      </c>
      <c r="AJ4" s="107">
        <f>Table684[[#This Row],[Οκτ-23]]*Table6[[#This Row],[Οκτ-23]]</f>
        <v>-5.167378416953359E-4</v>
      </c>
      <c r="AK4" s="107">
        <f>Table684[[#This Row],[Νοε-23]]*Table6[[#This Row],[Νοε-23]]</f>
        <v>4.5698735439374215E-3</v>
      </c>
      <c r="AL4" s="107">
        <f>Table684[[#This Row],[Δεκ-23]]*Table6[[#This Row],[Δεκ-23]]</f>
        <v>-1.084227237580455E-3</v>
      </c>
      <c r="AM4" s="126">
        <f>Table684[[#This Row],[Ιαν-24]]*Table6[[#This Row],[Ιαν-24]]</f>
        <v>1.3511883453365835E-3</v>
      </c>
      <c r="AN4" s="107">
        <f>Table684[[#This Row],[Φεβ-24]]*Table6[[#This Row],[Φεβ-24]]</f>
        <v>1.5060393008463088E-3</v>
      </c>
      <c r="AO4" s="107">
        <f>Table684[[#This Row],[Μαρ-24]]*Table6[[#This Row],[Μαρ-24]]</f>
        <v>5.2896442055690249E-3</v>
      </c>
      <c r="AP4" s="107">
        <f>Table684[[#This Row],[Απρ-24]]*Table6[[#This Row],[Απρ-24]]</f>
        <v>-1.3285849827956344E-3</v>
      </c>
      <c r="AQ4" s="107">
        <f>Table684[[#This Row],[Μαϊ-24]]*Table6[[#This Row],[Μαϊ-24]]</f>
        <v>-6.6042919562315605E-4</v>
      </c>
      <c r="AR4" s="126">
        <f>Table684[[#This Row],[Ιουν-24]]*Table6[[#This Row],[Ιουν-24]]</f>
        <v>-1.4623464359035784E-3</v>
      </c>
      <c r="AS4" s="107">
        <f>Table684[[#This Row],[Ιουλ-24]]*Table6[[#This Row],[Ιουλ-24]]</f>
        <v>8.8406997450264277E-4</v>
      </c>
      <c r="AT4" s="107">
        <f>Table684[[#This Row],[Αυγ-24]]*Table6[[#This Row],[Αυγ-24]]</f>
        <v>-2.7766507101122237E-4</v>
      </c>
      <c r="AU4" s="107">
        <f>Table684[[#This Row],[Σεπ-24]]*Table6[[#This Row],[Σεπ-24]]</f>
        <v>2.8087213037847651E-4</v>
      </c>
      <c r="AV4" s="107">
        <f>Table684[[#This Row],[Οκτ-24]]*Table6[[#This Row],[Οκτ-24]]</f>
        <v>-6.5425424701506753E-4</v>
      </c>
      <c r="AW4" s="107">
        <f>Table684[[#This Row],[Νοε-24]]*Table6[[#This Row],[Νοε-24]]</f>
        <v>-5.3764552672684758E-4</v>
      </c>
      <c r="AX4" s="107">
        <f>Table684[[#This Row],[Δεκ-24]]*Table6[[#This Row],[Δεκ-24]]</f>
        <v>1.2715643479847562E-3</v>
      </c>
      <c r="AY4" s="126">
        <f>Table684[[#This Row],[Ιαν-25]]*Table6[[#This Row],[Ιαν-25]]</f>
        <v>4.1770740255286333E-3</v>
      </c>
      <c r="AZ4" s="107">
        <f>Table684[[#This Row],[Φεβ-25]]*Table6[[#This Row],[Φεβ-25]]</f>
        <v>4.3092283660347615E-3</v>
      </c>
      <c r="BA4" s="107">
        <f>Table684[[#This Row],[Μαρ-25]]*Table6[[#This Row],[Μαρ-25]]</f>
        <v>-6.4645856251592906E-4</v>
      </c>
      <c r="BB4" s="107">
        <f>Table684[[#This Row],[Απρ-25]]*Table6[[#This Row],[Απρ-25]]</f>
        <v>-2.3740078322549252E-5</v>
      </c>
      <c r="BC4" s="107">
        <f>Table684[[#This Row],[Μαϊ-25]]*Table6[[#This Row],[Μαϊ-25]]</f>
        <v>2.8073049615604932E-3</v>
      </c>
      <c r="BD4" s="126">
        <f>Table684[[#This Row],[Ιουν-25]]*Table6[[#This Row],[Ιουν-25]]</f>
        <v>-2.8901103547418694E-4</v>
      </c>
      <c r="BE4" s="107"/>
      <c r="BF4" s="153" cm="1">
        <f t="array" ref="BF4">PRODUCT(1+Table68[[#This Row],[Ιαν-21]:[Ιουν-25]])-1</f>
        <v>4.1876618486555106E-2</v>
      </c>
      <c r="BG4" s="112" t="s">
        <v>34</v>
      </c>
      <c r="BH4" s="112" t="str">
        <f>IF(Table68[[#This Row],[Cumulative Return ]]&lt;0,"Negative", IF(Table68[[#This Row],[Cumulative Return ]]&lt;0.025,"Positive","High Positive"))</f>
        <v>High Positive</v>
      </c>
      <c r="BI4" s="113">
        <f>SLOPE(C4:BD4,$C$54:$BD$54)</f>
        <v>3.4956234832192123E-2</v>
      </c>
      <c r="BJ4" s="113"/>
      <c r="BK4" s="157"/>
      <c r="BM4" s="106" t="s">
        <v>244</v>
      </c>
      <c r="BN4" s="107">
        <v>-1.0141023126303161E-2</v>
      </c>
      <c r="CD4" s="163" t="s">
        <v>2009</v>
      </c>
      <c r="CE4" s="164"/>
      <c r="CF4" s="164"/>
    </row>
    <row r="5" spans="1:84">
      <c r="A5" s="110" t="s">
        <v>65</v>
      </c>
      <c r="B5" s="110" t="s">
        <v>66</v>
      </c>
      <c r="C5" s="126">
        <f>Table684[[#This Row],[Ιαν-21]]*Table6[[#This Row],[Ιαν-21]]</f>
        <v>-1.4427347054466408E-3</v>
      </c>
      <c r="D5" s="107">
        <f>Table684[[#This Row],[Φεβ-21]]*Table6[[#This Row],[Φεβ-21]]</f>
        <v>3.3114990028616773E-3</v>
      </c>
      <c r="E5" s="107">
        <f>Table684[[#This Row],[Μαρ-21]]*Table6[[#This Row],[Μαρ-21]]</f>
        <v>2.0287072562106875E-3</v>
      </c>
      <c r="F5" s="107">
        <f>Table684[[#This Row],[Απρ-21]]*Table6[[#This Row],[Απρ-21]]</f>
        <v>1.1464379075626946E-3</v>
      </c>
      <c r="G5" s="107">
        <f>Table684[[#This Row],[Μαϊ-21]]*Table6[[#This Row],[Μαϊ-21]]</f>
        <v>2.2264462319491474E-3</v>
      </c>
      <c r="H5" s="126">
        <f>Table684[[#This Row],[Ιουν-21]]*Table6[[#This Row],[Ιουν-21]]</f>
        <v>-1.0897984111548013E-3</v>
      </c>
      <c r="I5" s="107">
        <f>Table684[[#This Row],[Ιουλ-21]]*Table6[[#This Row],[Ιουλ-21]]</f>
        <v>-2.6040703685127641E-4</v>
      </c>
      <c r="J5" s="107">
        <f>Table684[[#This Row],[Αυγ-21]]*Table6[[#This Row],[Αυγ-21]]</f>
        <v>-5.0877353845415042E-4</v>
      </c>
      <c r="K5" s="107">
        <f>Table684[[#This Row],[Σεπ-21]]*Table6[[#This Row],[Σεπ-21]]</f>
        <v>9.0933790931178372E-4</v>
      </c>
      <c r="L5" s="107">
        <f>Table684[[#This Row],[Οκτ-21]]*Table6[[#This Row],[Οκτ-21]]</f>
        <v>1.5546349072443455E-3</v>
      </c>
      <c r="M5" s="107">
        <f>Table684[[#This Row],[Νοε-21]]*Table6[[#This Row],[Νοε-21]]</f>
        <v>-1.2917115633541115E-3</v>
      </c>
      <c r="N5" s="107">
        <f>Table684[[#This Row],[Δεκ-21]]*Table6[[#This Row],[Δεκ-21]]</f>
        <v>5.6405800780721016E-4</v>
      </c>
      <c r="O5" s="126">
        <f>Table684[[#This Row],[Ιαν-22]]*Table6[[#This Row],[Ιαν-22]]</f>
        <v>1.3084467495697457E-3</v>
      </c>
      <c r="P5" s="107">
        <f>Table684[[#This Row],[Φεβ-22]]*Table6[[#This Row],[Φεβ-22]]</f>
        <v>-9.9587645512688424E-4</v>
      </c>
      <c r="Q5" s="107">
        <f>Table684[[#This Row],[Μαρ-22]]*Table6[[#This Row],[Μαρ-22]]</f>
        <v>-6.6399019462396955E-4</v>
      </c>
      <c r="R5" s="107">
        <f>Table684[[#This Row],[Απρ-22]]*Table6[[#This Row],[Απρ-22]]</f>
        <v>1.7935381612309065E-4</v>
      </c>
      <c r="S5" s="107">
        <f>Table684[[#This Row],[Μαϊ-22]]*Table6[[#This Row],[Μαϊ-22]]</f>
        <v>-6.1225139843257737E-4</v>
      </c>
      <c r="T5" s="126">
        <f>Table684[[#This Row],[Ιουν-22]]*Table6[[#This Row],[Ιουν-22]]</f>
        <v>-1.1862102769125721E-3</v>
      </c>
      <c r="U5" s="107">
        <f>Table684[[#This Row],[Ιουλ-22]]*Table6[[#This Row],[Ιουλ-22]]</f>
        <v>1.7163947275346458E-3</v>
      </c>
      <c r="V5" s="107">
        <f>Table684[[#This Row],[Αυγ-22]]*Table6[[#This Row],[Αυγ-22]]</f>
        <v>-7.8730727619371417E-4</v>
      </c>
      <c r="W5" s="107">
        <f>Table684[[#This Row],[Σεπ-22]]*Table6[[#This Row],[Σεπ-22]]</f>
        <v>-1.3162911906965649E-3</v>
      </c>
      <c r="X5" s="107">
        <f>Table684[[#This Row],[Οκτ-22]]*Table6[[#This Row],[Οκτ-22]]</f>
        <v>6.3607615903861232E-4</v>
      </c>
      <c r="Y5" s="107">
        <f>Table684[[#This Row],[Νοε-22]]*Table6[[#This Row],[Νοε-22]]</f>
        <v>1.9563141690538874E-3</v>
      </c>
      <c r="Z5" s="107">
        <f>Table684[[#This Row],[Δεκ-22]]*Table6[[#This Row],[Δεκ-22]]</f>
        <v>-9.8489097404490743E-4</v>
      </c>
      <c r="AA5" s="126">
        <f>Table684[[#This Row],[Ιαν-23]]*Table6[[#This Row],[Ιαν-23]]</f>
        <v>2.8062739497351128E-3</v>
      </c>
      <c r="AB5" s="107">
        <f>Table684[[#This Row],[Φεβ-23]]*Table6[[#This Row],[Φεβ-23]]</f>
        <v>1.1750596782623824E-4</v>
      </c>
      <c r="AC5" s="107">
        <f>Table684[[#This Row],[Μαρ-23]]*Table6[[#This Row],[Μαρ-23]]</f>
        <v>-1.7756072502520214E-3</v>
      </c>
      <c r="AD5" s="107">
        <f>Table684[[#This Row],[Απρ-23]]*Table6[[#This Row],[Απρ-23]]</f>
        <v>7.8460912839840955E-4</v>
      </c>
      <c r="AE5" s="107">
        <f>Table684[[#This Row],[Μαϊ-23]]*Table6[[#This Row],[Μαϊ-23]]</f>
        <v>-1.0647476609597659E-3</v>
      </c>
      <c r="AF5" s="126">
        <f>Table684[[#This Row],[Ιουν-23]]*Table6[[#This Row],[Ιουν-23]]</f>
        <v>-2.2209161933486475E-4</v>
      </c>
      <c r="AG5" s="107">
        <f>Table684[[#This Row],[Ιουλ-23]]*Table6[[#This Row],[Ιουλ-23]]</f>
        <v>5.5845468923487534E-4</v>
      </c>
      <c r="AH5" s="107">
        <f>Table684[[#This Row],[Αυγ-23]]*Table6[[#This Row],[Αυγ-23]]</f>
        <v>-6.1405444409455133E-4</v>
      </c>
      <c r="AI5" s="107">
        <f>Table684[[#This Row],[Σεπ-23]]*Table6[[#This Row],[Σεπ-23]]</f>
        <v>5.6850283130664649E-4</v>
      </c>
      <c r="AJ5" s="107">
        <f>Table684[[#This Row],[Οκτ-23]]*Table6[[#This Row],[Οκτ-23]]</f>
        <v>-1.7876478117676113E-3</v>
      </c>
      <c r="AK5" s="107">
        <f>Table684[[#This Row],[Νοε-23]]*Table6[[#This Row],[Νοε-23]]</f>
        <v>1.5722502603582272E-3</v>
      </c>
      <c r="AL5" s="107">
        <f>Table684[[#This Row],[Δεκ-23]]*Table6[[#This Row],[Δεκ-23]]</f>
        <v>1.497916513607319E-3</v>
      </c>
      <c r="AM5" s="126">
        <f>Table684[[#This Row],[Ιαν-24]]*Table6[[#This Row],[Ιαν-24]]</f>
        <v>-1.6200636728225404E-3</v>
      </c>
      <c r="AN5" s="107">
        <f>Table684[[#This Row],[Φεβ-24]]*Table6[[#This Row],[Φεβ-24]]</f>
        <v>1.3998934012645512E-3</v>
      </c>
      <c r="AO5" s="107">
        <f>Table684[[#This Row],[Μαρ-24]]*Table6[[#This Row],[Μαρ-24]]</f>
        <v>1.8195050035557554E-3</v>
      </c>
      <c r="AP5" s="107">
        <f>Table684[[#This Row],[Απρ-24]]*Table6[[#This Row],[Απρ-24]]</f>
        <v>6.8722290613946351E-4</v>
      </c>
      <c r="AQ5" s="107">
        <f>Table684[[#This Row],[Μαϊ-24]]*Table6[[#This Row],[Μαϊ-24]]</f>
        <v>1.2800824395203282E-3</v>
      </c>
      <c r="AR5" s="126">
        <f>Table684[[#This Row],[Ιουν-24]]*Table6[[#This Row],[Ιουν-24]]</f>
        <v>-1.5322600093645706E-4</v>
      </c>
      <c r="AS5" s="107">
        <f>Table684[[#This Row],[Ιουλ-24]]*Table6[[#This Row],[Ιουλ-24]]</f>
        <v>1.6521322064167402E-3</v>
      </c>
      <c r="AT5" s="107">
        <f>Table684[[#This Row],[Αυγ-24]]*Table6[[#This Row],[Αυγ-24]]</f>
        <v>-1.2880395287410203E-5</v>
      </c>
      <c r="AU5" s="107">
        <f>Table684[[#This Row],[Σεπ-24]]*Table6[[#This Row],[Σεπ-24]]</f>
        <v>3.1865915001230954E-4</v>
      </c>
      <c r="AV5" s="107">
        <f>Table684[[#This Row],[Οκτ-24]]*Table6[[#This Row],[Οκτ-24]]</f>
        <v>-1.9243324216237608E-3</v>
      </c>
      <c r="AW5" s="107">
        <f>Table684[[#This Row],[Νοε-24]]*Table6[[#This Row],[Νοε-24]]</f>
        <v>1.7503509318164687E-4</v>
      </c>
      <c r="AX5" s="107">
        <f>Table684[[#This Row],[Δεκ-24]]*Table6[[#This Row],[Δεκ-24]]</f>
        <v>6.1708730346410725E-4</v>
      </c>
      <c r="AY5" s="126">
        <f>Table684[[#This Row],[Ιαν-25]]*Table6[[#This Row],[Ιαν-25]]</f>
        <v>2.1417207321904786E-3</v>
      </c>
      <c r="AZ5" s="107">
        <f>Table684[[#This Row],[Φεβ-25]]*Table6[[#This Row],[Φεβ-25]]</f>
        <v>3.3472135021435454E-3</v>
      </c>
      <c r="BA5" s="107">
        <f>Table684[[#This Row],[Μαρ-25]]*Table6[[#This Row],[Μαρ-25]]</f>
        <v>-5.3427119412064784E-4</v>
      </c>
      <c r="BB5" s="107">
        <f>Table684[[#This Row],[Απρ-25]]*Table6[[#This Row],[Απρ-25]]</f>
        <v>7.0621495678619957E-4</v>
      </c>
      <c r="BC5" s="107">
        <f>Table684[[#This Row],[Μαϊ-25]]*Table6[[#This Row],[Μαϊ-25]]</f>
        <v>1.3114020647513487E-3</v>
      </c>
      <c r="BD5" s="126">
        <f>Table684[[#This Row],[Ιουν-25]]*Table6[[#This Row],[Ιουν-25]]</f>
        <v>-4.028638676306849E-4</v>
      </c>
      <c r="BE5" s="107"/>
      <c r="BF5" s="153" cm="1">
        <f t="array" ref="BF5">PRODUCT(1+Table68[[#This Row],[Ιαν-21]:[Ιουν-25]])-1</f>
        <v>1.9789249000787379E-2</v>
      </c>
      <c r="BG5" s="112" t="s">
        <v>34</v>
      </c>
      <c r="BH5" s="112" t="str">
        <f>IF(Table68[[#This Row],[Cumulative Return ]]&lt;0,"Negative", IF(Table68[[#This Row],[Cumulative Return ]]&lt;0.025,"Positive","High Positive"))</f>
        <v>Positive</v>
      </c>
      <c r="BI5" s="113">
        <f>SLOPE(C5:BD5,$C$54:$BD$54)</f>
        <v>2.437623754215127E-2</v>
      </c>
      <c r="BJ5" s="113"/>
      <c r="BK5" s="157"/>
      <c r="BM5" s="106" t="s">
        <v>213</v>
      </c>
      <c r="BN5" s="107">
        <v>-6.0210528153801235E-3</v>
      </c>
      <c r="CD5" s="165" t="s">
        <v>2010</v>
      </c>
      <c r="CE5" s="163" t="s">
        <v>2011</v>
      </c>
      <c r="CF5" s="163" t="s">
        <v>2012</v>
      </c>
    </row>
    <row r="6" spans="1:84">
      <c r="A6" s="110" t="s">
        <v>73</v>
      </c>
      <c r="B6" s="110" t="s">
        <v>74</v>
      </c>
      <c r="C6" s="126">
        <f>Table684[[#This Row],[Ιαν-21]]*Table6[[#This Row],[Ιαν-21]]</f>
        <v>-1.3583743229085912E-3</v>
      </c>
      <c r="D6" s="107">
        <f>Table684[[#This Row],[Φεβ-21]]*Table6[[#This Row],[Φεβ-21]]</f>
        <v>3.6675828977056637E-3</v>
      </c>
      <c r="E6" s="107">
        <f>Table684[[#This Row],[Μαρ-21]]*Table6[[#This Row],[Μαρ-21]]</f>
        <v>3.5066228589826884E-3</v>
      </c>
      <c r="F6" s="107">
        <f>Table684[[#This Row],[Απρ-21]]*Table6[[#This Row],[Απρ-21]]</f>
        <v>-1.59308125387556E-3</v>
      </c>
      <c r="G6" s="107">
        <f>Table684[[#This Row],[Μαϊ-21]]*Table6[[#This Row],[Μαϊ-21]]</f>
        <v>1.063755468810106E-3</v>
      </c>
      <c r="H6" s="126">
        <f>Table684[[#This Row],[Ιουν-21]]*Table6[[#This Row],[Ιουν-21]]</f>
        <v>-1.112179737134284E-3</v>
      </c>
      <c r="I6" s="107">
        <f>Table684[[#This Row],[Ιουλ-21]]*Table6[[#This Row],[Ιουλ-21]]</f>
        <v>4.1543875147390287E-4</v>
      </c>
      <c r="J6" s="107">
        <f>Table684[[#This Row],[Αυγ-21]]*Table6[[#This Row],[Αυγ-21]]</f>
        <v>1.0344435081378752E-3</v>
      </c>
      <c r="K6" s="107">
        <f>Table684[[#This Row],[Σεπ-21]]*Table6[[#This Row],[Σεπ-21]]</f>
        <v>4.0313922528910167E-4</v>
      </c>
      <c r="L6" s="107">
        <f>Table684[[#This Row],[Οκτ-21]]*Table6[[#This Row],[Οκτ-21]]</f>
        <v>1.5106126295952752E-3</v>
      </c>
      <c r="M6" s="107">
        <f>Table684[[#This Row],[Νοε-21]]*Table6[[#This Row],[Νοε-21]]</f>
        <v>-1.7899288130754163E-3</v>
      </c>
      <c r="N6" s="107">
        <f>Table684[[#This Row],[Δεκ-21]]*Table6[[#This Row],[Δεκ-21]]</f>
        <v>4.9383723762649141E-4</v>
      </c>
      <c r="O6" s="126">
        <f>Table684[[#This Row],[Ιαν-22]]*Table6[[#This Row],[Ιαν-22]]</f>
        <v>1.0777469279350802E-3</v>
      </c>
      <c r="P6" s="107">
        <f>Table684[[#This Row],[Φεβ-22]]*Table6[[#This Row],[Φεβ-22]]</f>
        <v>-1.3783401207127306E-3</v>
      </c>
      <c r="Q6" s="107">
        <f>Table684[[#This Row],[Μαρ-22]]*Table6[[#This Row],[Μαρ-22]]</f>
        <v>-3.1319055305122287E-3</v>
      </c>
      <c r="R6" s="107">
        <f>Table684[[#This Row],[Απρ-22]]*Table6[[#This Row],[Απρ-22]]</f>
        <v>7.1768985338371776E-5</v>
      </c>
      <c r="S6" s="107">
        <f>Table684[[#This Row],[Μαϊ-22]]*Table6[[#This Row],[Μαϊ-22]]</f>
        <v>1.787894120030286E-3</v>
      </c>
      <c r="T6" s="126">
        <f>Table684[[#This Row],[Ιουν-22]]*Table6[[#This Row],[Ιουν-22]]</f>
        <v>-1.8128874043380821E-3</v>
      </c>
      <c r="U6" s="107">
        <f>Table684[[#This Row],[Ιουλ-22]]*Table6[[#This Row],[Ιουλ-22]]</f>
        <v>9.1330116208378502E-4</v>
      </c>
      <c r="V6" s="107">
        <f>Table684[[#This Row],[Αυγ-22]]*Table6[[#This Row],[Αυγ-22]]</f>
        <v>4.5867090602724335E-4</v>
      </c>
      <c r="W6" s="107">
        <f>Table684[[#This Row],[Σεπ-22]]*Table6[[#This Row],[Σεπ-22]]</f>
        <v>-2.4744340839498919E-3</v>
      </c>
      <c r="X6" s="107">
        <f>Table684[[#This Row],[Οκτ-22]]*Table6[[#This Row],[Οκτ-22]]</f>
        <v>7.3204541138701816E-4</v>
      </c>
      <c r="Y6" s="107">
        <f>Table684[[#This Row],[Νοε-22]]*Table6[[#This Row],[Νοε-22]]</f>
        <v>1.4221455663916696E-3</v>
      </c>
      <c r="Z6" s="107">
        <f>Table684[[#This Row],[Δεκ-22]]*Table6[[#This Row],[Δεκ-22]]</f>
        <v>-6.5847777264996059E-4</v>
      </c>
      <c r="AA6" s="126">
        <f>Table684[[#This Row],[Ιαν-23]]*Table6[[#This Row],[Ιαν-23]]</f>
        <v>3.0559118164293401E-3</v>
      </c>
      <c r="AB6" s="107">
        <f>Table684[[#This Row],[Φεβ-23]]*Table6[[#This Row],[Φεβ-23]]</f>
        <v>-4.9819107731790093E-4</v>
      </c>
      <c r="AC6" s="107">
        <f>Table684[[#This Row],[Μαρ-23]]*Table6[[#This Row],[Μαρ-23]]</f>
        <v>-2.9969417261964397E-3</v>
      </c>
      <c r="AD6" s="107">
        <f>Table684[[#This Row],[Απρ-23]]*Table6[[#This Row],[Απρ-23]]</f>
        <v>1.4761452175645448E-3</v>
      </c>
      <c r="AE6" s="107">
        <f>Table684[[#This Row],[Μαϊ-23]]*Table6[[#This Row],[Μαϊ-23]]</f>
        <v>-5.2158245851835255E-4</v>
      </c>
      <c r="AF6" s="126">
        <f>Table684[[#This Row],[Ιουν-23]]*Table6[[#This Row],[Ιουν-23]]</f>
        <v>2.3586474301454628E-4</v>
      </c>
      <c r="AG6" s="107">
        <f>Table684[[#This Row],[Ιουλ-23]]*Table6[[#This Row],[Ιουλ-23]]</f>
        <v>2.2500293299042396E-4</v>
      </c>
      <c r="AH6" s="107">
        <f>Table684[[#This Row],[Αυγ-23]]*Table6[[#This Row],[Αυγ-23]]</f>
        <v>-5.2734703694610823E-4</v>
      </c>
      <c r="AI6" s="107">
        <f>Table684[[#This Row],[Σεπ-23]]*Table6[[#This Row],[Σεπ-23]]</f>
        <v>1.0828096838691669E-3</v>
      </c>
      <c r="AJ6" s="107">
        <f>Table684[[#This Row],[Οκτ-23]]*Table6[[#This Row],[Οκτ-23]]</f>
        <v>-3.150151539316822E-3</v>
      </c>
      <c r="AK6" s="107">
        <f>Table684[[#This Row],[Νοε-23]]*Table6[[#This Row],[Νοε-23]]</f>
        <v>1.2487448841686994E-3</v>
      </c>
      <c r="AL6" s="107">
        <f>Table684[[#This Row],[Δεκ-23]]*Table6[[#This Row],[Δεκ-23]]</f>
        <v>1.3038291821311826E-3</v>
      </c>
      <c r="AM6" s="126">
        <f>Table684[[#This Row],[Ιαν-24]]*Table6[[#This Row],[Ιαν-24]]</f>
        <v>-3.3227660877231701E-4</v>
      </c>
      <c r="AN6" s="107">
        <f>Table684[[#This Row],[Φεβ-24]]*Table6[[#This Row],[Φεβ-24]]</f>
        <v>2.3271700451542063E-3</v>
      </c>
      <c r="AO6" s="107">
        <f>Table684[[#This Row],[Μαρ-24]]*Table6[[#This Row],[Μαρ-24]]</f>
        <v>2.1037366316065936E-3</v>
      </c>
      <c r="AP6" s="107">
        <f>Table684[[#This Row],[Απρ-24]]*Table6[[#This Row],[Απρ-24]]</f>
        <v>2.0897095111709371E-3</v>
      </c>
      <c r="AQ6" s="107">
        <f>Table684[[#This Row],[Μαϊ-24]]*Table6[[#This Row],[Μαϊ-24]]</f>
        <v>1.8806048457839714E-3</v>
      </c>
      <c r="AR6" s="126">
        <f>Table684[[#This Row],[Ιουν-24]]*Table6[[#This Row],[Ιουν-24]]</f>
        <v>-7.8334640928188722E-4</v>
      </c>
      <c r="AS6" s="107">
        <f>Table684[[#This Row],[Ιουλ-24]]*Table6[[#This Row],[Ιουλ-24]]</f>
        <v>2.1065313706073864E-3</v>
      </c>
      <c r="AT6" s="107">
        <f>Table684[[#This Row],[Αυγ-24]]*Table6[[#This Row],[Αυγ-24]]</f>
        <v>-1.9133549296011061E-4</v>
      </c>
      <c r="AU6" s="107">
        <f>Table684[[#This Row],[Σεπ-24]]*Table6[[#This Row],[Σεπ-24]]</f>
        <v>-7.8997601436486459E-5</v>
      </c>
      <c r="AV6" s="107">
        <f>Table684[[#This Row],[Οκτ-24]]*Table6[[#This Row],[Οκτ-24]]</f>
        <v>7.2708189033755745E-4</v>
      </c>
      <c r="AW6" s="107">
        <f>Table684[[#This Row],[Νοε-24]]*Table6[[#This Row],[Νοε-24]]</f>
        <v>2.4131472952353648E-3</v>
      </c>
      <c r="AX6" s="107">
        <f>Table684[[#This Row],[Δεκ-24]]*Table6[[#This Row],[Δεκ-24]]</f>
        <v>4.399960192211402E-4</v>
      </c>
      <c r="AY6" s="126">
        <f>Table684[[#This Row],[Ιαν-25]]*Table6[[#This Row],[Ιαν-25]]</f>
        <v>1.6235069537424607E-3</v>
      </c>
      <c r="AZ6" s="107">
        <f>Table684[[#This Row],[Φεβ-25]]*Table6[[#This Row],[Φεβ-25]]</f>
        <v>1.4213748710118885E-3</v>
      </c>
      <c r="BA6" s="107">
        <f>Table684[[#This Row],[Μαρ-25]]*Table6[[#This Row],[Μαρ-25]]</f>
        <v>-1.5967614023512404E-3</v>
      </c>
      <c r="BB6" s="107">
        <f>Table684[[#This Row],[Απρ-25]]*Table6[[#This Row],[Απρ-25]]</f>
        <v>2.5709111196036257E-4</v>
      </c>
      <c r="BC6" s="107">
        <f>Table684[[#This Row],[Μαϊ-25]]*Table6[[#This Row],[Μαϊ-25]]</f>
        <v>1.9199932651386773E-3</v>
      </c>
      <c r="BD6" s="126">
        <f>Table684[[#This Row],[Ιουν-25]]*Table6[[#This Row],[Ιουν-25]]</f>
        <v>2.1348341703506378E-4</v>
      </c>
      <c r="BE6" s="107"/>
      <c r="BF6" s="153" cm="1">
        <f t="array" ref="BF6">PRODUCT(1+Table68[[#This Row],[Ιαν-21]:[Ιουν-25]])-1</f>
        <v>2.0866244566487557E-2</v>
      </c>
      <c r="BG6" s="112" t="s">
        <v>34</v>
      </c>
      <c r="BH6" s="112" t="str">
        <f>IF(Table68[[#This Row],[Cumulative Return ]]&lt;0,"Negative", IF(Table68[[#This Row],[Cumulative Return ]]&lt;0.025,"Positive","High Positive"))</f>
        <v>Positive</v>
      </c>
      <c r="BI6" s="113">
        <f>SLOPE(C6:BD6,$C$54:$BD$54)</f>
        <v>2.4288726549736465E-2</v>
      </c>
      <c r="BJ6" s="113"/>
      <c r="BK6" s="157"/>
      <c r="BM6" s="106" t="s">
        <v>265</v>
      </c>
      <c r="BN6" s="107">
        <v>-1.3743423611047856E-3</v>
      </c>
      <c r="CD6" s="114" t="s">
        <v>2013</v>
      </c>
      <c r="CE6" s="166">
        <f>BF50</f>
        <v>1.0725705992926953</v>
      </c>
      <c r="CF6" s="166">
        <f>BD55-1</f>
        <v>0.35260981056301821</v>
      </c>
    </row>
    <row r="7" spans="1:84">
      <c r="A7" s="110" t="s">
        <v>80</v>
      </c>
      <c r="B7" s="110" t="s">
        <v>81</v>
      </c>
      <c r="C7" s="126">
        <f>Table684[[#This Row],[Ιαν-21]]*Table6[[#This Row],[Ιαν-21]]</f>
        <v>-1.6363069762925998E-3</v>
      </c>
      <c r="D7" s="107">
        <f>Table684[[#This Row],[Φεβ-21]]*Table6[[#This Row],[Φεβ-21]]</f>
        <v>3.710983586758592E-3</v>
      </c>
      <c r="E7" s="107">
        <f>Table684[[#This Row],[Μαρ-21]]*Table6[[#This Row],[Μαρ-21]]</f>
        <v>1.6655891564053269E-3</v>
      </c>
      <c r="F7" s="107">
        <f>Table684[[#This Row],[Απρ-21]]*Table6[[#This Row],[Απρ-21]]</f>
        <v>-3.2707398611334998E-4</v>
      </c>
      <c r="G7" s="107">
        <f>Table684[[#This Row],[Μαϊ-21]]*Table6[[#This Row],[Μαϊ-21]]</f>
        <v>1.0743725545003086E-3</v>
      </c>
      <c r="H7" s="126">
        <f>Table684[[#This Row],[Ιουν-21]]*Table6[[#This Row],[Ιουν-21]]</f>
        <v>-2.6198876564611622E-4</v>
      </c>
      <c r="I7" s="107">
        <f>Table684[[#This Row],[Ιουλ-21]]*Table6[[#This Row],[Ιουλ-21]]</f>
        <v>3.4757962306431337E-5</v>
      </c>
      <c r="J7" s="107">
        <f>Table684[[#This Row],[Αυγ-21]]*Table6[[#This Row],[Αυγ-21]]</f>
        <v>8.7130637408786254E-4</v>
      </c>
      <c r="K7" s="107">
        <f>Table684[[#This Row],[Σεπ-21]]*Table6[[#This Row],[Σεπ-21]]</f>
        <v>8.013311069500679E-4</v>
      </c>
      <c r="L7" s="107">
        <f>Table684[[#This Row],[Οκτ-21]]*Table6[[#This Row],[Οκτ-21]]</f>
        <v>2.2373664805591525E-5</v>
      </c>
      <c r="M7" s="107">
        <f>Table684[[#This Row],[Νοε-21]]*Table6[[#This Row],[Νοε-21]]</f>
        <v>-7.4106132735745841E-4</v>
      </c>
      <c r="N7" s="107">
        <f>Table684[[#This Row],[Δεκ-21]]*Table6[[#This Row],[Δεκ-21]]</f>
        <v>1.1553874129686642E-3</v>
      </c>
      <c r="O7" s="126">
        <f>Table684[[#This Row],[Ιαν-22]]*Table6[[#This Row],[Ιαν-22]]</f>
        <v>1.2291015805454936E-3</v>
      </c>
      <c r="P7" s="107">
        <f>Table684[[#This Row],[Φεβ-22]]*Table6[[#This Row],[Φεβ-22]]</f>
        <v>-8.9049614423418347E-4</v>
      </c>
      <c r="Q7" s="107">
        <f>Table684[[#This Row],[Μαρ-22]]*Table6[[#This Row],[Μαρ-22]]</f>
        <v>-5.5749218128102842E-4</v>
      </c>
      <c r="R7" s="107">
        <f>Table684[[#This Row],[Απρ-22]]*Table6[[#This Row],[Απρ-22]]</f>
        <v>2.3607061301200057E-4</v>
      </c>
      <c r="S7" s="107">
        <f>Table684[[#This Row],[Μαϊ-22]]*Table6[[#This Row],[Μαϊ-22]]</f>
        <v>4.9686005939750786E-4</v>
      </c>
      <c r="T7" s="126">
        <f>Table684[[#This Row],[Ιουν-22]]*Table6[[#This Row],[Ιουν-22]]</f>
        <v>-8.2339326345922228E-4</v>
      </c>
      <c r="U7" s="107">
        <f>Table684[[#This Row],[Ιουλ-22]]*Table6[[#This Row],[Ιουλ-22]]</f>
        <v>2.6117212323709918E-3</v>
      </c>
      <c r="V7" s="107">
        <f>Table684[[#This Row],[Αυγ-22]]*Table6[[#This Row],[Αυγ-22]]</f>
        <v>-5.2324515561138953E-4</v>
      </c>
      <c r="W7" s="107">
        <f>Table684[[#This Row],[Σεπ-22]]*Table6[[#This Row],[Σεπ-22]]</f>
        <v>-1.7085561623340398E-3</v>
      </c>
      <c r="X7" s="107">
        <f>Table684[[#This Row],[Οκτ-22]]*Table6[[#This Row],[Οκτ-22]]</f>
        <v>9.9482588538778584E-4</v>
      </c>
      <c r="Y7" s="107">
        <f>Table684[[#This Row],[Νοε-22]]*Table6[[#This Row],[Νοε-22]]</f>
        <v>1.840712359310578E-3</v>
      </c>
      <c r="Z7" s="107">
        <f>Table684[[#This Row],[Δεκ-22]]*Table6[[#This Row],[Δεκ-22]]</f>
        <v>-2.0462638722612463E-4</v>
      </c>
      <c r="AA7" s="126">
        <f>Table684[[#This Row],[Ιαν-23]]*Table6[[#This Row],[Ιαν-23]]</f>
        <v>2.4926359702901911E-3</v>
      </c>
      <c r="AB7" s="107">
        <f>Table684[[#This Row],[Φεβ-23]]*Table6[[#This Row],[Φεβ-23]]</f>
        <v>-7.3021706921291406E-4</v>
      </c>
      <c r="AC7" s="107">
        <f>Table684[[#This Row],[Μαρ-23]]*Table6[[#This Row],[Μαρ-23]]</f>
        <v>-9.9560844997492325E-4</v>
      </c>
      <c r="AD7" s="107">
        <f>Table684[[#This Row],[Απρ-23]]*Table6[[#This Row],[Απρ-23]]</f>
        <v>-3.7700192780745274E-5</v>
      </c>
      <c r="AE7" s="107">
        <f>Table684[[#This Row],[Μαϊ-23]]*Table6[[#This Row],[Μαϊ-23]]</f>
        <v>1.639633246117141E-4</v>
      </c>
      <c r="AF7" s="126">
        <f>Table684[[#This Row],[Ιουν-23]]*Table6[[#This Row],[Ιουν-23]]</f>
        <v>-1.0808907931228336E-3</v>
      </c>
      <c r="AG7" s="107">
        <f>Table684[[#This Row],[Ιουλ-23]]*Table6[[#This Row],[Ιουλ-23]]</f>
        <v>2.369715927182929E-4</v>
      </c>
      <c r="AH7" s="107">
        <f>Table684[[#This Row],[Αυγ-23]]*Table6[[#This Row],[Αυγ-23]]</f>
        <v>-4.6309713493300801E-4</v>
      </c>
      <c r="AI7" s="107">
        <f>Table684[[#This Row],[Σεπ-23]]*Table6[[#This Row],[Σεπ-23]]</f>
        <v>1.3739351662083891E-4</v>
      </c>
      <c r="AJ7" s="107">
        <f>Table684[[#This Row],[Οκτ-23]]*Table6[[#This Row],[Οκτ-23]]</f>
        <v>-3.3504193018592688E-3</v>
      </c>
      <c r="AK7" s="107">
        <f>Table684[[#This Row],[Νοε-23]]*Table6[[#This Row],[Νοε-23]]</f>
        <v>1.8771436247686346E-3</v>
      </c>
      <c r="AL7" s="107">
        <f>Table684[[#This Row],[Δεκ-23]]*Table6[[#This Row],[Δεκ-23]]</f>
        <v>5.7976039875753526E-4</v>
      </c>
      <c r="AM7" s="126">
        <f>Table684[[#This Row],[Ιαν-24]]*Table6[[#This Row],[Ιαν-24]]</f>
        <v>6.4374382415902825E-4</v>
      </c>
      <c r="AN7" s="107">
        <f>Table684[[#This Row],[Φεβ-24]]*Table6[[#This Row],[Φεβ-24]]</f>
        <v>8.949503702085828E-4</v>
      </c>
      <c r="AO7" s="107">
        <f>Table684[[#This Row],[Μαρ-24]]*Table6[[#This Row],[Μαρ-24]]</f>
        <v>2.5815075188860008E-3</v>
      </c>
      <c r="AP7" s="107">
        <f>Table684[[#This Row],[Απρ-24]]*Table6[[#This Row],[Απρ-24]]</f>
        <v>2.5091935870429002E-3</v>
      </c>
      <c r="AQ7" s="107">
        <f>Table684[[#This Row],[Μαϊ-24]]*Table6[[#This Row],[Μαϊ-24]]</f>
        <v>7.9526063106136972E-4</v>
      </c>
      <c r="AR7" s="126">
        <f>Table684[[#This Row],[Ιουν-24]]*Table6[[#This Row],[Ιουν-24]]</f>
        <v>-7.4853933041747484E-5</v>
      </c>
      <c r="AS7" s="107">
        <f>Table684[[#This Row],[Ιουλ-24]]*Table6[[#This Row],[Ιουλ-24]]</f>
        <v>2.8408740411534246E-3</v>
      </c>
      <c r="AT7" s="107">
        <f>Table684[[#This Row],[Αυγ-24]]*Table6[[#This Row],[Αυγ-24]]</f>
        <v>-7.9104700910274397E-4</v>
      </c>
      <c r="AU7" s="107">
        <f>Table684[[#This Row],[Σεπ-24]]*Table6[[#This Row],[Σεπ-24]]</f>
        <v>1.4250493175651174E-4</v>
      </c>
      <c r="AV7" s="107">
        <f>Table684[[#This Row],[Οκτ-24]]*Table6[[#This Row],[Οκτ-24]]</f>
        <v>8.6591548623972836E-4</v>
      </c>
      <c r="AW7" s="107">
        <f>Table684[[#This Row],[Νοε-24]]*Table6[[#This Row],[Νοε-24]]</f>
        <v>2.0024336373789657E-3</v>
      </c>
      <c r="AX7" s="107">
        <f>Table684[[#This Row],[Δεκ-24]]*Table6[[#This Row],[Δεκ-24]]</f>
        <v>6.159404019370296E-5</v>
      </c>
      <c r="AY7" s="126">
        <f>Table684[[#This Row],[Ιαν-25]]*Table6[[#This Row],[Ιαν-25]]</f>
        <v>9.6112450025603749E-4</v>
      </c>
      <c r="AZ7" s="107">
        <f>Table684[[#This Row],[Φεβ-25]]*Table6[[#This Row],[Φεβ-25]]</f>
        <v>1.7778070590702549E-3</v>
      </c>
      <c r="BA7" s="107">
        <f>Table684[[#This Row],[Μαρ-25]]*Table6[[#This Row],[Μαρ-25]]</f>
        <v>-5.7312942283299932E-4</v>
      </c>
      <c r="BB7" s="107">
        <f>Table684[[#This Row],[Απρ-25]]*Table6[[#This Row],[Απρ-25]]</f>
        <v>6.5531534505407067E-4</v>
      </c>
      <c r="BC7" s="107">
        <f>Table684[[#This Row],[Μαϊ-25]]*Table6[[#This Row],[Μαϊ-25]]</f>
        <v>1.7224953100740273E-3</v>
      </c>
      <c r="BD7" s="126">
        <f>Table684[[#This Row],[Ιουν-25]]*Table6[[#This Row],[Ιουν-25]]</f>
        <v>-6.24281801568174E-4</v>
      </c>
      <c r="BE7" s="107"/>
      <c r="BF7" s="153" cm="1">
        <f t="array" ref="BF7">PRODUCT(1+Table68[[#This Row],[Ιαν-21]:[Ιουν-25]])-1</f>
        <v>2.453741286530331E-2</v>
      </c>
      <c r="BG7" s="112" t="s">
        <v>34</v>
      </c>
      <c r="BH7" s="112" t="str">
        <f>IF(Table68[[#This Row],[Cumulative Return ]]&lt;0,"Negative", IF(Table68[[#This Row],[Cumulative Return ]]&lt;0.025,"Positive","High Positive"))</f>
        <v>Positive</v>
      </c>
      <c r="BI7" s="113">
        <f>SLOPE(C7:BD7,$C$54:$BD$54)</f>
        <v>2.0030777670482409E-2</v>
      </c>
      <c r="BJ7" s="113"/>
      <c r="BK7" s="157"/>
      <c r="BM7" s="106" t="s">
        <v>247</v>
      </c>
      <c r="BN7" s="107">
        <v>-1.0261889580597261E-3</v>
      </c>
      <c r="CD7" s="114" t="s">
        <v>2014</v>
      </c>
      <c r="CE7" s="166">
        <f>AVERAGE(C50:BD50)</f>
        <v>1.4308517426145207E-2</v>
      </c>
      <c r="CF7" s="166">
        <f>AVERAGE(C54:BD54)</f>
        <v>6.2796296296296289E-3</v>
      </c>
    </row>
    <row r="8" spans="1:84">
      <c r="A8" s="110" t="s">
        <v>86</v>
      </c>
      <c r="B8" s="110" t="s">
        <v>87</v>
      </c>
      <c r="C8" s="126">
        <f>Table684[[#This Row],[Ιαν-21]]*Table6[[#This Row],[Ιαν-21]]</f>
        <v>-1.6697191778847192E-3</v>
      </c>
      <c r="D8" s="107">
        <f>Table684[[#This Row],[Φεβ-21]]*Table6[[#This Row],[Φεβ-21]]</f>
        <v>1.5893240289392549E-3</v>
      </c>
      <c r="E8" s="107">
        <f>Table684[[#This Row],[Μαρ-21]]*Table6[[#This Row],[Μαρ-21]]</f>
        <v>2.1247402513628524E-3</v>
      </c>
      <c r="F8" s="107">
        <f>Table684[[#This Row],[Απρ-21]]*Table6[[#This Row],[Απρ-21]]</f>
        <v>-3.8638948249642868E-5</v>
      </c>
      <c r="G8" s="107">
        <f>Table684[[#This Row],[Μαϊ-21]]*Table6[[#This Row],[Μαϊ-21]]</f>
        <v>8.4631108069935972E-4</v>
      </c>
      <c r="H8" s="126">
        <f>Table684[[#This Row],[Ιουν-21]]*Table6[[#This Row],[Ιουν-21]]</f>
        <v>-4.8893680172319742E-4</v>
      </c>
      <c r="I8" s="107">
        <f>Table684[[#This Row],[Ιουλ-21]]*Table6[[#This Row],[Ιουλ-21]]</f>
        <v>-1.273821146680596E-4</v>
      </c>
      <c r="J8" s="107">
        <f>Table684[[#This Row],[Αυγ-21]]*Table6[[#This Row],[Αυγ-21]]</f>
        <v>-1.262242617670118E-3</v>
      </c>
      <c r="K8" s="107">
        <f>Table684[[#This Row],[Σεπ-21]]*Table6[[#This Row],[Σεπ-21]]</f>
        <v>-3.6058569105161113E-4</v>
      </c>
      <c r="L8" s="107">
        <f>Table684[[#This Row],[Οκτ-21]]*Table6[[#This Row],[Οκτ-21]]</f>
        <v>7.1495096268945214E-4</v>
      </c>
      <c r="M8" s="107">
        <f>Table684[[#This Row],[Νοε-21]]*Table6[[#This Row],[Νοε-21]]</f>
        <v>-9.9121403176165215E-4</v>
      </c>
      <c r="N8" s="107">
        <f>Table684[[#This Row],[Δεκ-21]]*Table6[[#This Row],[Δεκ-21]]</f>
        <v>1.6782162193767526E-3</v>
      </c>
      <c r="O8" s="126">
        <f>Table684[[#This Row],[Ιαν-22]]*Table6[[#This Row],[Ιαν-22]]</f>
        <v>2.4373499565901392E-3</v>
      </c>
      <c r="P8" s="107">
        <f>Table684[[#This Row],[Φεβ-22]]*Table6[[#This Row],[Φεβ-22]]</f>
        <v>-3.1291493330444166E-3</v>
      </c>
      <c r="Q8" s="107">
        <f>Table684[[#This Row],[Μαρ-22]]*Table6[[#This Row],[Μαρ-22]]</f>
        <v>1.8530457901645224E-3</v>
      </c>
      <c r="R8" s="107">
        <f>Table684[[#This Row],[Απρ-22]]*Table6[[#This Row],[Απρ-22]]</f>
        <v>-3.7644862499665554E-4</v>
      </c>
      <c r="S8" s="107">
        <f>Table684[[#This Row],[Μαϊ-22]]*Table6[[#This Row],[Μαϊ-22]]</f>
        <v>-9.2365078197000029E-4</v>
      </c>
      <c r="T8" s="126">
        <f>Table684[[#This Row],[Ιουν-22]]*Table6[[#This Row],[Ιουν-22]]</f>
        <v>-1.7381703301259667E-3</v>
      </c>
      <c r="U8" s="107">
        <f>Table684[[#This Row],[Ιουλ-22]]*Table6[[#This Row],[Ιουλ-22]]</f>
        <v>-6.0663612867680307E-4</v>
      </c>
      <c r="V8" s="107">
        <f>Table684[[#This Row],[Αυγ-22]]*Table6[[#This Row],[Αυγ-22]]</f>
        <v>-1.1035394253684991E-3</v>
      </c>
      <c r="W8" s="107">
        <f>Table684[[#This Row],[Σεπ-22]]*Table6[[#This Row],[Σεπ-22]]</f>
        <v>-1.1948657634394595E-3</v>
      </c>
      <c r="X8" s="107">
        <f>Table684[[#This Row],[Οκτ-22]]*Table6[[#This Row],[Οκτ-22]]</f>
        <v>3.2062667790445582E-3</v>
      </c>
      <c r="Y8" s="107">
        <f>Table684[[#This Row],[Νοε-22]]*Table6[[#This Row],[Νοε-22]]</f>
        <v>3.0247867119877611E-3</v>
      </c>
      <c r="Z8" s="107">
        <f>Table684[[#This Row],[Δεκ-22]]*Table6[[#This Row],[Δεκ-22]]</f>
        <v>-5.6432574597606896E-4</v>
      </c>
      <c r="AA8" s="126">
        <f>Table684[[#This Row],[Ιαν-23]]*Table6[[#This Row],[Ιαν-23]]</f>
        <v>2.263777391978404E-3</v>
      </c>
      <c r="AB8" s="107">
        <f>Table684[[#This Row],[Φεβ-23]]*Table6[[#This Row],[Φεβ-23]]</f>
        <v>2.9636510902407827E-4</v>
      </c>
      <c r="AC8" s="107">
        <f>Table684[[#This Row],[Μαρ-23]]*Table6[[#This Row],[Μαρ-23]]</f>
        <v>-1.0205554995790427E-3</v>
      </c>
      <c r="AD8" s="107">
        <f>Table684[[#This Row],[Απρ-23]]*Table6[[#This Row],[Απρ-23]]</f>
        <v>1.5059337029639044E-3</v>
      </c>
      <c r="AE8" s="107">
        <f>Table684[[#This Row],[Μαϊ-23]]*Table6[[#This Row],[Μαϊ-23]]</f>
        <v>-1.5868651544816638E-3</v>
      </c>
      <c r="AF8" s="126">
        <f>Table684[[#This Row],[Ιουν-23]]*Table6[[#This Row],[Ιουν-23]]</f>
        <v>1.4863678772385203E-3</v>
      </c>
      <c r="AG8" s="107">
        <f>Table684[[#This Row],[Ιουλ-23]]*Table6[[#This Row],[Ιουλ-23]]</f>
        <v>4.9523017666740102E-4</v>
      </c>
      <c r="AH8" s="107">
        <f>Table684[[#This Row],[Αυγ-23]]*Table6[[#This Row],[Αυγ-23]]</f>
        <v>7.9860623134993182E-4</v>
      </c>
      <c r="AI8" s="107">
        <f>Table684[[#This Row],[Σεπ-23]]*Table6[[#This Row],[Σεπ-23]]</f>
        <v>1.0037193988466056E-4</v>
      </c>
      <c r="AJ8" s="107">
        <f>Table684[[#This Row],[Οκτ-23]]*Table6[[#This Row],[Οκτ-23]]</f>
        <v>-3.5791208387925245E-4</v>
      </c>
      <c r="AK8" s="107">
        <f>Table684[[#This Row],[Νοε-23]]*Table6[[#This Row],[Νοε-23]]</f>
        <v>1.0582330738746553E-3</v>
      </c>
      <c r="AL8" s="107">
        <f>Table684[[#This Row],[Δεκ-23]]*Table6[[#This Row],[Δεκ-23]]</f>
        <v>1.3159939497070141E-3</v>
      </c>
      <c r="AM8" s="126">
        <f>Table684[[#This Row],[Ιαν-24]]*Table6[[#This Row],[Ιαν-24]]</f>
        <v>5.1093895780074123E-4</v>
      </c>
      <c r="AN8" s="107">
        <f>Table684[[#This Row],[Φεβ-24]]*Table6[[#This Row],[Φεβ-24]]</f>
        <v>6.3548772822582199E-4</v>
      </c>
      <c r="AO8" s="107">
        <f>Table684[[#This Row],[Μαρ-24]]*Table6[[#This Row],[Μαρ-24]]</f>
        <v>2.3186634839719813E-3</v>
      </c>
      <c r="AP8" s="107">
        <f>Table684[[#This Row],[Απρ-24]]*Table6[[#This Row],[Απρ-24]]</f>
        <v>-1.0052007657388754E-3</v>
      </c>
      <c r="AQ8" s="107">
        <f>Table684[[#This Row],[Μαϊ-24]]*Table6[[#This Row],[Μαϊ-24]]</f>
        <v>1.433962243124176E-3</v>
      </c>
      <c r="AR8" s="126">
        <f>Table684[[#This Row],[Ιουν-24]]*Table6[[#This Row],[Ιουν-24]]</f>
        <v>-8.0185635482604386E-4</v>
      </c>
      <c r="AS8" s="107">
        <f>Table684[[#This Row],[Ιουλ-24]]*Table6[[#This Row],[Ιουλ-24]]</f>
        <v>1.0047574452490962E-4</v>
      </c>
      <c r="AT8" s="107">
        <f>Table684[[#This Row],[Αυγ-24]]*Table6[[#This Row],[Αυγ-24]]</f>
        <v>1.8952200573469429E-3</v>
      </c>
      <c r="AU8" s="107">
        <f>Table684[[#This Row],[Σεπ-24]]*Table6[[#This Row],[Σεπ-24]]</f>
        <v>1.205258184853196E-3</v>
      </c>
      <c r="AV8" s="107">
        <f>Table684[[#This Row],[Οκτ-24]]*Table6[[#This Row],[Οκτ-24]]</f>
        <v>-5.5997233644403273E-4</v>
      </c>
      <c r="AW8" s="107">
        <f>Table684[[#This Row],[Νοε-24]]*Table6[[#This Row],[Νοε-24]]</f>
        <v>2.5046006461193796E-4</v>
      </c>
      <c r="AX8" s="107">
        <f>Table684[[#This Row],[Δεκ-24]]*Table6[[#This Row],[Δεκ-24]]</f>
        <v>3.7639346562597098E-4</v>
      </c>
      <c r="AY8" s="126">
        <f>Table684[[#This Row],[Ιαν-25]]*Table6[[#This Row],[Ιαν-25]]</f>
        <v>1.4374741970662004E-3</v>
      </c>
      <c r="AZ8" s="107">
        <f>Table684[[#This Row],[Φεβ-25]]*Table6[[#This Row],[Φεβ-25]]</f>
        <v>1.2674213650961882E-3</v>
      </c>
      <c r="BA8" s="107">
        <f>Table684[[#This Row],[Μαρ-25]]*Table6[[#This Row],[Μαρ-25]]</f>
        <v>1.7020307257921425E-3</v>
      </c>
      <c r="BB8" s="107">
        <f>Table684[[#This Row],[Απρ-25]]*Table6[[#This Row],[Απρ-25]]</f>
        <v>8.9773706082541818E-4</v>
      </c>
      <c r="BC8" s="107">
        <f>Table684[[#This Row],[Μαϊ-25]]*Table6[[#This Row],[Μαϊ-25]]</f>
        <v>-7.0446716684052093E-5</v>
      </c>
      <c r="BD8" s="126">
        <f>Table684[[#This Row],[Ιουν-25]]*Table6[[#This Row],[Ιουν-25]]</f>
        <v>-2.7380460896499057E-4</v>
      </c>
      <c r="BE8" s="107"/>
      <c r="BF8" s="153" cm="1">
        <f t="array" ref="BF8">PRODUCT(1+Table68[[#This Row],[Ιαν-21]:[Ιουν-25]])-1</f>
        <v>2.0736035148757326E-2</v>
      </c>
      <c r="BG8" s="112" t="s">
        <v>34</v>
      </c>
      <c r="BH8" s="112" t="str">
        <f>IF(Table68[[#This Row],[Cumulative Return ]]&lt;0,"Negative", IF(Table68[[#This Row],[Cumulative Return ]]&lt;0.025,"Positive","High Positive"))</f>
        <v>Positive</v>
      </c>
      <c r="BI8" s="113">
        <f>SLOPE(C8:BD8,$C$54:$BD$54)</f>
        <v>2.1371262102989147E-2</v>
      </c>
      <c r="BJ8" s="113"/>
      <c r="BK8" s="157"/>
      <c r="BM8" s="106" t="s">
        <v>233</v>
      </c>
      <c r="BN8" s="107">
        <v>1.7230488546708944E-3</v>
      </c>
      <c r="CD8" s="114" t="s">
        <v>2015</v>
      </c>
      <c r="CE8" s="167">
        <v>45680</v>
      </c>
      <c r="CF8" s="167">
        <v>45860</v>
      </c>
    </row>
    <row r="9" spans="1:84">
      <c r="A9" s="110" t="s">
        <v>95</v>
      </c>
      <c r="B9" s="110" t="s">
        <v>96</v>
      </c>
      <c r="C9" s="126">
        <f>Table684[[#This Row],[Ιαν-21]]*Table6[[#This Row],[Ιαν-21]]</f>
        <v>-6.6692935502251022E-4</v>
      </c>
      <c r="D9" s="107">
        <f>Table684[[#This Row],[Φεβ-21]]*Table6[[#This Row],[Φεβ-21]]</f>
        <v>3.8517329065891978E-4</v>
      </c>
      <c r="E9" s="107">
        <f>Table684[[#This Row],[Μαρ-21]]*Table6[[#This Row],[Μαρ-21]]</f>
        <v>1.1820718460091759E-3</v>
      </c>
      <c r="F9" s="107">
        <f>Table684[[#This Row],[Απρ-21]]*Table6[[#This Row],[Απρ-21]]</f>
        <v>-2.2590568749887628E-4</v>
      </c>
      <c r="G9" s="107">
        <f>Table684[[#This Row],[Μαϊ-21]]*Table6[[#This Row],[Μαϊ-21]]</f>
        <v>2.0699974639033399E-5</v>
      </c>
      <c r="H9" s="126">
        <f>Table684[[#This Row],[Ιουν-21]]*Table6[[#This Row],[Ιουν-21]]</f>
        <v>-1.5049474757040015E-4</v>
      </c>
      <c r="I9" s="107">
        <f>Table684[[#This Row],[Ιουλ-21]]*Table6[[#This Row],[Ιουλ-21]]</f>
        <v>8.4972969206072033E-5</v>
      </c>
      <c r="J9" s="107">
        <f>Table684[[#This Row],[Αυγ-21]]*Table6[[#This Row],[Αυγ-21]]</f>
        <v>1.4138856549905359E-3</v>
      </c>
      <c r="K9" s="107">
        <f>Table684[[#This Row],[Σεπ-21]]*Table6[[#This Row],[Σεπ-21]]</f>
        <v>-7.3926076153357149E-4</v>
      </c>
      <c r="L9" s="107">
        <f>Table684[[#This Row],[Οκτ-21]]*Table6[[#This Row],[Οκτ-21]]</f>
        <v>1.2933014710410475E-3</v>
      </c>
      <c r="M9" s="107">
        <f>Table684[[#This Row],[Νοε-21]]*Table6[[#This Row],[Νοε-21]]</f>
        <v>-8.3791623777766178E-4</v>
      </c>
      <c r="N9" s="107">
        <f>Table684[[#This Row],[Δεκ-21]]*Table6[[#This Row],[Δεκ-21]]</f>
        <v>1.0199488578030249E-3</v>
      </c>
      <c r="O9" s="126">
        <f>Table684[[#This Row],[Ιαν-22]]*Table6[[#This Row],[Ιαν-22]]</f>
        <v>1.4479178871510078E-3</v>
      </c>
      <c r="P9" s="107">
        <f>Table684[[#This Row],[Φεβ-22]]*Table6[[#This Row],[Φεβ-22]]</f>
        <v>-5.318694557813194E-4</v>
      </c>
      <c r="Q9" s="107">
        <f>Table684[[#This Row],[Μαρ-22]]*Table6[[#This Row],[Μαρ-22]]</f>
        <v>1.6041189937389918E-3</v>
      </c>
      <c r="R9" s="107">
        <f>Table684[[#This Row],[Απρ-22]]*Table6[[#This Row],[Απρ-22]]</f>
        <v>4.1843266557899415E-4</v>
      </c>
      <c r="S9" s="107">
        <f>Table684[[#This Row],[Μαϊ-22]]*Table6[[#This Row],[Μαϊ-22]]</f>
        <v>-3.9352707990213576E-4</v>
      </c>
      <c r="T9" s="126">
        <f>Table684[[#This Row],[Ιουν-22]]*Table6[[#This Row],[Ιουν-22]]</f>
        <v>-3.9287049892062359E-4</v>
      </c>
      <c r="U9" s="107">
        <f>Table684[[#This Row],[Ιουλ-22]]*Table6[[#This Row],[Ιουλ-22]]</f>
        <v>4.8483140411090806E-4</v>
      </c>
      <c r="V9" s="107">
        <f>Table684[[#This Row],[Αυγ-22]]*Table6[[#This Row],[Αυγ-22]]</f>
        <v>5.8702452495893755E-4</v>
      </c>
      <c r="W9" s="107">
        <f>Table684[[#This Row],[Σεπ-22]]*Table6[[#This Row],[Σεπ-22]]</f>
        <v>-1.3085044070123254E-3</v>
      </c>
      <c r="X9" s="107">
        <f>Table684[[#This Row],[Οκτ-22]]*Table6[[#This Row],[Οκτ-22]]</f>
        <v>9.1620254374235851E-4</v>
      </c>
      <c r="Y9" s="107">
        <f>Table684[[#This Row],[Νοε-22]]*Table6[[#This Row],[Νοε-22]]</f>
        <v>1.1716372407289811E-3</v>
      </c>
      <c r="Z9" s="107">
        <f>Table684[[#This Row],[Δεκ-22]]*Table6[[#This Row],[Δεκ-22]]</f>
        <v>-4.9594791425138635E-4</v>
      </c>
      <c r="AA9" s="126">
        <f>Table684[[#This Row],[Ιαν-23]]*Table6[[#This Row],[Ιαν-23]]</f>
        <v>2.0118771517306126E-4</v>
      </c>
      <c r="AB9" s="107">
        <f>Table684[[#This Row],[Φεβ-23]]*Table6[[#This Row],[Φεβ-23]]</f>
        <v>-1.4857909068089576E-4</v>
      </c>
      <c r="AC9" s="107">
        <f>Table684[[#This Row],[Μαρ-23]]*Table6[[#This Row],[Μαρ-23]]</f>
        <v>-2.6613259438948526E-4</v>
      </c>
      <c r="AD9" s="107">
        <f>Table684[[#This Row],[Απρ-23]]*Table6[[#This Row],[Απρ-23]]</f>
        <v>7.0618738904720997E-4</v>
      </c>
      <c r="AE9" s="107">
        <f>Table684[[#This Row],[Μαϊ-23]]*Table6[[#This Row],[Μαϊ-23]]</f>
        <v>-2.2871799676323107E-5</v>
      </c>
      <c r="AF9" s="126">
        <f>Table684[[#This Row],[Ιουν-23]]*Table6[[#This Row],[Ιουν-23]]</f>
        <v>-1.0930671139323802E-4</v>
      </c>
      <c r="AG9" s="107">
        <f>Table684[[#This Row],[Ιουλ-23]]*Table6[[#This Row],[Ιουλ-23]]</f>
        <v>1.6470208855864238E-4</v>
      </c>
      <c r="AH9" s="107">
        <f>Table684[[#This Row],[Αυγ-23]]*Table6[[#This Row],[Αυγ-23]]</f>
        <v>-2.0689663743250243E-4</v>
      </c>
      <c r="AI9" s="107">
        <f>Table684[[#This Row],[Σεπ-23]]*Table6[[#This Row],[Σεπ-23]]</f>
        <v>2.1256783883590093E-5</v>
      </c>
      <c r="AJ9" s="107">
        <f>Table684[[#This Row],[Οκτ-23]]*Table6[[#This Row],[Οκτ-23]]</f>
        <v>4.7530965127064113E-4</v>
      </c>
      <c r="AK9" s="107">
        <f>Table684[[#This Row],[Νοε-23]]*Table6[[#This Row],[Νοε-23]]</f>
        <v>4.4196135440186549E-4</v>
      </c>
      <c r="AL9" s="107">
        <f>Table684[[#This Row],[Δεκ-23]]*Table6[[#This Row],[Δεκ-23]]</f>
        <v>4.7025240812376194E-4</v>
      </c>
      <c r="AM9" s="126">
        <f>Table684[[#This Row],[Ιαν-24]]*Table6[[#This Row],[Ιαν-24]]</f>
        <v>-9.0296848542240098E-5</v>
      </c>
      <c r="AN9" s="107">
        <f>Table684[[#This Row],[Φεβ-24]]*Table6[[#This Row],[Φεβ-24]]</f>
        <v>7.1077039670714966E-4</v>
      </c>
      <c r="AO9" s="107">
        <f>Table684[[#This Row],[Μαρ-24]]*Table6[[#This Row],[Μαρ-24]]</f>
        <v>2.3638294757993641E-4</v>
      </c>
      <c r="AP9" s="107">
        <f>Table684[[#This Row],[Απρ-24]]*Table6[[#This Row],[Απρ-24]]</f>
        <v>-6.0091459064251051E-4</v>
      </c>
      <c r="AQ9" s="107">
        <f>Table684[[#This Row],[Μαϊ-24]]*Table6[[#This Row],[Μαϊ-24]]</f>
        <v>9.6512778050959703E-4</v>
      </c>
      <c r="AR9" s="126">
        <f>Table684[[#This Row],[Ιουν-24]]*Table6[[#This Row],[Ιουν-24]]</f>
        <v>4.6257332937428265E-4</v>
      </c>
      <c r="AS9" s="107">
        <f>Table684[[#This Row],[Ιουλ-24]]*Table6[[#This Row],[Ιουλ-24]]</f>
        <v>3.3486246979124882E-4</v>
      </c>
      <c r="AT9" s="107">
        <f>Table684[[#This Row],[Αυγ-24]]*Table6[[#This Row],[Αυγ-24]]</f>
        <v>4.8297757973436776E-4</v>
      </c>
      <c r="AU9" s="107">
        <f>Table684[[#This Row],[Σεπ-24]]*Table6[[#This Row],[Σεπ-24]]</f>
        <v>5.9076282548029446E-4</v>
      </c>
      <c r="AV9" s="107">
        <f>Table684[[#This Row],[Οκτ-24]]*Table6[[#This Row],[Οκτ-24]]</f>
        <v>6.1209700653511571E-5</v>
      </c>
      <c r="AW9" s="107">
        <f>Table684[[#This Row],[Νοε-24]]*Table6[[#This Row],[Νοε-24]]</f>
        <v>1.8116054671059238E-3</v>
      </c>
      <c r="AX9" s="107">
        <f>Table684[[#This Row],[Δεκ-24]]*Table6[[#This Row],[Δεκ-24]]</f>
        <v>-8.5707828337359948E-4</v>
      </c>
      <c r="AY9" s="126">
        <f>Table684[[#This Row],[Ιαν-25]]*Table6[[#This Row],[Ιαν-25]]</f>
        <v>3.485141522682951E-4</v>
      </c>
      <c r="AZ9" s="107">
        <f>Table684[[#This Row],[Φεβ-25]]*Table6[[#This Row],[Φεβ-25]]</f>
        <v>1.2259704049049837E-3</v>
      </c>
      <c r="BA9" s="107">
        <f>Table684[[#This Row],[Μαρ-25]]*Table6[[#This Row],[Μαρ-25]]</f>
        <v>2.4786576547598994E-4</v>
      </c>
      <c r="BB9" s="107">
        <f>Table684[[#This Row],[Απρ-25]]*Table6[[#This Row],[Απρ-25]]</f>
        <v>3.3652463521709772E-4</v>
      </c>
      <c r="BC9" s="107">
        <f>Table684[[#This Row],[Μαϊ-25]]*Table6[[#This Row],[Μαϊ-25]]</f>
        <v>-1.3540306804270507E-4</v>
      </c>
      <c r="BD9" s="126">
        <f>Table684[[#This Row],[Ιουν-25]]*Table6[[#This Row],[Ιουν-25]]</f>
        <v>-6.3683040550843023E-4</v>
      </c>
      <c r="BE9" s="107"/>
      <c r="BF9" s="153" cm="1">
        <f t="array" ref="BF9">PRODUCT(1+Table68[[#This Row],[Ιαν-21]:[Ιουν-25]])-1</f>
        <v>1.3585860987140208E-2</v>
      </c>
      <c r="BG9" s="112" t="s">
        <v>34</v>
      </c>
      <c r="BH9" s="112" t="str">
        <f>IF(Table68[[#This Row],[Cumulative Return ]]&lt;0,"Negative", IF(Table68[[#This Row],[Cumulative Return ]]&lt;0.025,"Positive","High Positive"))</f>
        <v>Positive</v>
      </c>
      <c r="BI9" s="113">
        <f>SLOPE(C9:BD9,$C$54:$BD$54)</f>
        <v>8.7212204681007856E-3</v>
      </c>
      <c r="BJ9" s="113"/>
      <c r="BK9" s="157"/>
      <c r="BM9" s="106" t="s">
        <v>225</v>
      </c>
      <c r="BN9" s="107">
        <v>2.3310210767160111E-3</v>
      </c>
      <c r="CD9" s="114" t="s">
        <v>2016</v>
      </c>
      <c r="CE9" s="167">
        <v>45830</v>
      </c>
      <c r="CF9" s="167">
        <v>45830</v>
      </c>
    </row>
    <row r="10" spans="1:84">
      <c r="A10" s="110" t="s">
        <v>105</v>
      </c>
      <c r="B10" s="110" t="s">
        <v>106</v>
      </c>
      <c r="C10" s="126">
        <f>Table684[[#This Row],[Ιαν-21]]*Table6[[#This Row],[Ιαν-21]]</f>
        <v>-1.3109764677243748E-3</v>
      </c>
      <c r="D10" s="107">
        <f>Table684[[#This Row],[Φεβ-21]]*Table6[[#This Row],[Φεβ-21]]</f>
        <v>1.354704697720762E-3</v>
      </c>
      <c r="E10" s="107">
        <f>Table684[[#This Row],[Μαρ-21]]*Table6[[#This Row],[Μαρ-21]]</f>
        <v>1.1051357004444192E-3</v>
      </c>
      <c r="F10" s="107">
        <f>Table684[[#This Row],[Απρ-21]]*Table6[[#This Row],[Απρ-21]]</f>
        <v>-6.549626434928336E-4</v>
      </c>
      <c r="G10" s="107">
        <f>Table684[[#This Row],[Μαϊ-21]]*Table6[[#This Row],[Μαϊ-21]]</f>
        <v>-1.8849342560138329E-4</v>
      </c>
      <c r="H10" s="126">
        <f>Table684[[#This Row],[Ιουν-21]]*Table6[[#This Row],[Ιουν-21]]</f>
        <v>-3.7034029109721869E-4</v>
      </c>
      <c r="I10" s="107">
        <f>Table684[[#This Row],[Ιουλ-21]]*Table6[[#This Row],[Ιουλ-21]]</f>
        <v>-2.632515176620025E-4</v>
      </c>
      <c r="J10" s="107">
        <f>Table684[[#This Row],[Αυγ-21]]*Table6[[#This Row],[Αυγ-21]]</f>
        <v>1.1354992047187126E-3</v>
      </c>
      <c r="K10" s="107">
        <f>Table684[[#This Row],[Σεπ-21]]*Table6[[#This Row],[Σεπ-21]]</f>
        <v>-5.7842471651752372E-4</v>
      </c>
      <c r="L10" s="107">
        <f>Table684[[#This Row],[Οκτ-21]]*Table6[[#This Row],[Οκτ-21]]</f>
        <v>1.1549650135752197E-3</v>
      </c>
      <c r="M10" s="107">
        <f>Table684[[#This Row],[Νοε-21]]*Table6[[#This Row],[Νοε-21]]</f>
        <v>-9.4823549027513512E-4</v>
      </c>
      <c r="N10" s="107">
        <f>Table684[[#This Row],[Δεκ-21]]*Table6[[#This Row],[Δεκ-21]]</f>
        <v>1.2335566387033146E-3</v>
      </c>
      <c r="O10" s="126">
        <f>Table684[[#This Row],[Ιαν-22]]*Table6[[#This Row],[Ιαν-22]]</f>
        <v>1.029348869931813E-3</v>
      </c>
      <c r="P10" s="107">
        <f>Table684[[#This Row],[Φεβ-22]]*Table6[[#This Row],[Φεβ-22]]</f>
        <v>-1.91882188920808E-3</v>
      </c>
      <c r="Q10" s="107">
        <f>Table684[[#This Row],[Μαρ-22]]*Table6[[#This Row],[Μαρ-22]]</f>
        <v>-1.3261838960214041E-4</v>
      </c>
      <c r="R10" s="107">
        <f>Table684[[#This Row],[Απρ-22]]*Table6[[#This Row],[Απρ-22]]</f>
        <v>-2.8031082072440714E-4</v>
      </c>
      <c r="S10" s="107">
        <f>Table684[[#This Row],[Μαϊ-22]]*Table6[[#This Row],[Μαϊ-22]]</f>
        <v>1.2691664597130575E-4</v>
      </c>
      <c r="T10" s="126">
        <f>Table684[[#This Row],[Ιουν-22]]*Table6[[#This Row],[Ιουν-22]]</f>
        <v>-2.8303573578152452E-4</v>
      </c>
      <c r="U10" s="107">
        <f>Table684[[#This Row],[Ιουλ-22]]*Table6[[#This Row],[Ιουλ-22]]</f>
        <v>-2.1427153462154821E-4</v>
      </c>
      <c r="V10" s="107">
        <f>Table684[[#This Row],[Αυγ-22]]*Table6[[#This Row],[Αυγ-22]]</f>
        <v>1.0658226503844591E-3</v>
      </c>
      <c r="W10" s="107">
        <f>Table684[[#This Row],[Σεπ-22]]*Table6[[#This Row],[Σεπ-22]]</f>
        <v>5.3198261066775819E-4</v>
      </c>
      <c r="X10" s="107">
        <f>Table684[[#This Row],[Οκτ-22]]*Table6[[#This Row],[Οκτ-22]]</f>
        <v>1.5357662206390268E-3</v>
      </c>
      <c r="Y10" s="107">
        <f>Table684[[#This Row],[Νοε-22]]*Table6[[#This Row],[Νοε-22]]</f>
        <v>2.2587733969851374E-3</v>
      </c>
      <c r="Z10" s="107">
        <f>Table684[[#This Row],[Δεκ-22]]*Table6[[#This Row],[Δεκ-22]]</f>
        <v>1.2075575064495927E-4</v>
      </c>
      <c r="AA10" s="126">
        <f>Table684[[#This Row],[Ιαν-23]]*Table6[[#This Row],[Ιαν-23]]</f>
        <v>1.2687323280554906E-3</v>
      </c>
      <c r="AB10" s="107">
        <f>Table684[[#This Row],[Φεβ-23]]*Table6[[#This Row],[Φεβ-23]]</f>
        <v>-2.84328699737765E-4</v>
      </c>
      <c r="AC10" s="107">
        <f>Table684[[#This Row],[Μαρ-23]]*Table6[[#This Row],[Μαρ-23]]</f>
        <v>-8.4014825765930202E-5</v>
      </c>
      <c r="AD10" s="107">
        <f>Table684[[#This Row],[Απρ-23]]*Table6[[#This Row],[Απρ-23]]</f>
        <v>7.0273554882858849E-4</v>
      </c>
      <c r="AE10" s="107">
        <f>Table684[[#This Row],[Μαϊ-23]]*Table6[[#This Row],[Μαϊ-23]]</f>
        <v>2.8292049927154542E-4</v>
      </c>
      <c r="AF10" s="126">
        <f>Table684[[#This Row],[Ιουν-23]]*Table6[[#This Row],[Ιουν-23]]</f>
        <v>3.7456470506410706E-4</v>
      </c>
      <c r="AG10" s="107">
        <f>Table684[[#This Row],[Ιουλ-23]]*Table6[[#This Row],[Ιουλ-23]]</f>
        <v>8.4077997001185842E-6</v>
      </c>
      <c r="AH10" s="107">
        <f>Table684[[#This Row],[Αυγ-23]]*Table6[[#This Row],[Αυγ-23]]</f>
        <v>5.755696814496163E-4</v>
      </c>
      <c r="AI10" s="107">
        <f>Table684[[#This Row],[Σεπ-23]]*Table6[[#This Row],[Σεπ-23]]</f>
        <v>3.9537284529189893E-4</v>
      </c>
      <c r="AJ10" s="107">
        <f>Table684[[#This Row],[Οκτ-23]]*Table6[[#This Row],[Οκτ-23]]</f>
        <v>4.3801761087737924E-4</v>
      </c>
      <c r="AK10" s="107">
        <f>Table684[[#This Row],[Νοε-23]]*Table6[[#This Row],[Νοε-23]]</f>
        <v>5.5520980492175303E-4</v>
      </c>
      <c r="AL10" s="107">
        <f>Table684[[#This Row],[Δεκ-23]]*Table6[[#This Row],[Δεκ-23]]</f>
        <v>-6.4388239827195862E-4</v>
      </c>
      <c r="AM10" s="126">
        <f>Table684[[#This Row],[Ιαν-24]]*Table6[[#This Row],[Ιαν-24]]</f>
        <v>6.6886554475733412E-4</v>
      </c>
      <c r="AN10" s="107">
        <f>Table684[[#This Row],[Φεβ-24]]*Table6[[#This Row],[Φεβ-24]]</f>
        <v>1.4240072596240125E-3</v>
      </c>
      <c r="AO10" s="107">
        <f>Table684[[#This Row],[Μαρ-24]]*Table6[[#This Row],[Μαρ-24]]</f>
        <v>7.0652450292798586E-4</v>
      </c>
      <c r="AP10" s="107">
        <f>Table684[[#This Row],[Απρ-24]]*Table6[[#This Row],[Απρ-24]]</f>
        <v>-8.1630097802409818E-4</v>
      </c>
      <c r="AQ10" s="107">
        <f>Table684[[#This Row],[Μαϊ-24]]*Table6[[#This Row],[Μαϊ-24]]</f>
        <v>1.6398394394489526E-3</v>
      </c>
      <c r="AR10" s="126">
        <f>Table684[[#This Row],[Ιουν-24]]*Table6[[#This Row],[Ιουν-24]]</f>
        <v>2.4219973410160309E-4</v>
      </c>
      <c r="AS10" s="107">
        <f>Table684[[#This Row],[Ιουλ-24]]*Table6[[#This Row],[Ιουλ-24]]</f>
        <v>-3.970772929971249E-4</v>
      </c>
      <c r="AT10" s="107">
        <f>Table684[[#This Row],[Αυγ-24]]*Table6[[#This Row],[Αυγ-24]]</f>
        <v>1.0872729220760911E-3</v>
      </c>
      <c r="AU10" s="107">
        <f>Table684[[#This Row],[Σεπ-24]]*Table6[[#This Row],[Σεπ-24]]</f>
        <v>1.5848187457960844E-4</v>
      </c>
      <c r="AV10" s="107">
        <f>Table684[[#This Row],[Οκτ-24]]*Table6[[#This Row],[Οκτ-24]]</f>
        <v>-7.4148640636895495E-4</v>
      </c>
      <c r="AW10" s="107">
        <f>Table684[[#This Row],[Νοε-24]]*Table6[[#This Row],[Νοε-24]]</f>
        <v>7.1271480886901802E-4</v>
      </c>
      <c r="AX10" s="107">
        <f>Table684[[#This Row],[Δεκ-24]]*Table6[[#This Row],[Δεκ-24]]</f>
        <v>-1.9548362682941458E-4</v>
      </c>
      <c r="AY10" s="126">
        <f>Table684[[#This Row],[Ιαν-25]]*Table6[[#This Row],[Ιαν-25]]</f>
        <v>9.8006404031811484E-4</v>
      </c>
      <c r="AZ10" s="107">
        <f>Table684[[#This Row],[Φεβ-25]]*Table6[[#This Row],[Φεβ-25]]</f>
        <v>6.0733748005232905E-4</v>
      </c>
      <c r="BA10" s="107">
        <f>Table684[[#This Row],[Μαρ-25]]*Table6[[#This Row],[Μαρ-25]]</f>
        <v>1.0288938446550025E-3</v>
      </c>
      <c r="BB10" s="107">
        <f>Table684[[#This Row],[Απρ-25]]*Table6[[#This Row],[Απρ-25]]</f>
        <v>4.8731986715023205E-4</v>
      </c>
      <c r="BC10" s="107">
        <f>Table684[[#This Row],[Μαϊ-25]]*Table6[[#This Row],[Μαϊ-25]]</f>
        <v>-3.1132267661705508E-4</v>
      </c>
      <c r="BD10" s="126">
        <f>Table684[[#This Row],[Ιουν-25]]*Table6[[#This Row],[Ιουν-25]]</f>
        <v>-5.2241919390520199E-4</v>
      </c>
      <c r="BE10" s="107"/>
      <c r="BF10" s="153" cm="1">
        <f t="array" ref="BF10">PRODUCT(1+Table68[[#This Row],[Ιαν-21]:[Ιουν-25]])-1</f>
        <v>1.5964138075933665E-2</v>
      </c>
      <c r="BG10" s="112" t="s">
        <v>34</v>
      </c>
      <c r="BH10" s="112" t="str">
        <f>IF(Table68[[#This Row],[Cumulative Return ]]&lt;0,"Negative", IF(Table68[[#This Row],[Cumulative Return ]]&lt;0.025,"Positive","High Positive"))</f>
        <v>Positive</v>
      </c>
      <c r="BI10" s="113">
        <f>SLOPE(C10:BD10,$C$54:$BD$54)</f>
        <v>8.4357143219418885E-3</v>
      </c>
      <c r="BJ10" s="113"/>
      <c r="BK10" s="157"/>
      <c r="BM10" s="106" t="s">
        <v>50</v>
      </c>
      <c r="BN10" s="107">
        <v>2.802444856123687E-3</v>
      </c>
      <c r="CD10" s="172" t="s">
        <v>2017</v>
      </c>
      <c r="CE10" s="168">
        <f>_xlfn.STDEV.P(C50:BD50)</f>
        <v>3.8196270612582572E-2</v>
      </c>
      <c r="CF10" s="169">
        <f>_xlfn.STDEV.P(B54:BC54)</f>
        <v>3.6943713549237527E-2</v>
      </c>
    </row>
    <row r="11" spans="1:84">
      <c r="A11" s="110" t="s">
        <v>113</v>
      </c>
      <c r="B11" s="110" t="s">
        <v>114</v>
      </c>
      <c r="C11" s="126">
        <f>Table684[[#This Row],[Ιαν-21]]*Table6[[#This Row],[Ιαν-21]]</f>
        <v>-4.1696530450954279E-4</v>
      </c>
      <c r="D11" s="107">
        <f>Table684[[#This Row],[Φεβ-21]]*Table6[[#This Row],[Φεβ-21]]</f>
        <v>5.1965623240925283E-4</v>
      </c>
      <c r="E11" s="107">
        <f>Table684[[#This Row],[Μαρ-21]]*Table6[[#This Row],[Μαρ-21]]</f>
        <v>6.3325991658471476E-4</v>
      </c>
      <c r="F11" s="107">
        <f>Table684[[#This Row],[Απρ-21]]*Table6[[#This Row],[Απρ-21]]</f>
        <v>-1.2287415736891922E-4</v>
      </c>
      <c r="G11" s="107">
        <f>Table684[[#This Row],[Μαϊ-21]]*Table6[[#This Row],[Μαϊ-21]]</f>
        <v>1.305384022296795E-4</v>
      </c>
      <c r="H11" s="126">
        <f>Table684[[#This Row],[Ιουν-21]]*Table6[[#This Row],[Ιουν-21]]</f>
        <v>-2.5418846447985586E-4</v>
      </c>
      <c r="I11" s="107">
        <f>Table684[[#This Row],[Ιουλ-21]]*Table6[[#This Row],[Ιουλ-21]]</f>
        <v>1.9112275763251575E-5</v>
      </c>
      <c r="J11" s="107">
        <f>Table684[[#This Row],[Αυγ-21]]*Table6[[#This Row],[Αυγ-21]]</f>
        <v>1.5887635155114064E-4</v>
      </c>
      <c r="K11" s="107">
        <f>Table684[[#This Row],[Σεπ-21]]*Table6[[#This Row],[Σεπ-21]]</f>
        <v>-3.642713212974061E-4</v>
      </c>
      <c r="L11" s="107">
        <f>Table684[[#This Row],[Οκτ-21]]*Table6[[#This Row],[Οκτ-21]]</f>
        <v>9.5372658954111299E-4</v>
      </c>
      <c r="M11" s="107">
        <f>Table684[[#This Row],[Νοε-21]]*Table6[[#This Row],[Νοε-21]]</f>
        <v>-7.0541645387990623E-5</v>
      </c>
      <c r="N11" s="107">
        <f>Table684[[#This Row],[Δεκ-21]]*Table6[[#This Row],[Δεκ-21]]</f>
        <v>4.1364998280552038E-4</v>
      </c>
      <c r="O11" s="126">
        <f>Table684[[#This Row],[Ιαν-22]]*Table6[[#This Row],[Ιαν-22]]</f>
        <v>8.1709162556773871E-4</v>
      </c>
      <c r="P11" s="107">
        <f>Table684[[#This Row],[Φεβ-22]]*Table6[[#This Row],[Φεβ-22]]</f>
        <v>-1.0034614041149028E-3</v>
      </c>
      <c r="Q11" s="107">
        <f>Table684[[#This Row],[Μαρ-22]]*Table6[[#This Row],[Μαρ-22]]</f>
        <v>8.8566182392920569E-5</v>
      </c>
      <c r="R11" s="107">
        <f>Table684[[#This Row],[Απρ-22]]*Table6[[#This Row],[Απρ-22]]</f>
        <v>-2.2371409374306156E-4</v>
      </c>
      <c r="S11" s="107">
        <f>Table684[[#This Row],[Μαϊ-22]]*Table6[[#This Row],[Μαϊ-22]]</f>
        <v>-1.5983504393159333E-4</v>
      </c>
      <c r="T11" s="126">
        <f>Table684[[#This Row],[Ιουν-22]]*Table6[[#This Row],[Ιουν-22]]</f>
        <v>-2.8546086231807157E-4</v>
      </c>
      <c r="U11" s="107">
        <f>Table684[[#This Row],[Ιουλ-22]]*Table6[[#This Row],[Ιουλ-22]]</f>
        <v>-6.3821769217625263E-5</v>
      </c>
      <c r="V11" s="107">
        <f>Table684[[#This Row],[Αυγ-22]]*Table6[[#This Row],[Αυγ-22]]</f>
        <v>4.5614310190514014E-4</v>
      </c>
      <c r="W11" s="107">
        <f>Table684[[#This Row],[Σεπ-22]]*Table6[[#This Row],[Σεπ-22]]</f>
        <v>-1.9609056422369541E-4</v>
      </c>
      <c r="X11" s="107">
        <f>Table684[[#This Row],[Οκτ-22]]*Table6[[#This Row],[Οκτ-22]]</f>
        <v>-9.3004786520829266E-5</v>
      </c>
      <c r="Y11" s="107">
        <f>Table684[[#This Row],[Νοε-22]]*Table6[[#This Row],[Νοε-22]]</f>
        <v>1.1778917979425199E-3</v>
      </c>
      <c r="Z11" s="107">
        <f>Table684[[#This Row],[Δεκ-22]]*Table6[[#This Row],[Δεκ-22]]</f>
        <v>1.8067068063332988E-4</v>
      </c>
      <c r="AA11" s="126">
        <f>Table684[[#This Row],[Ιαν-23]]*Table6[[#This Row],[Ιαν-23]]</f>
        <v>7.585561116654375E-4</v>
      </c>
      <c r="AB11" s="107">
        <f>Table684[[#This Row],[Φεβ-23]]*Table6[[#This Row],[Φεβ-23]]</f>
        <v>2.4547633655492407E-4</v>
      </c>
      <c r="AC11" s="107">
        <f>Table684[[#This Row],[Μαρ-23]]*Table6[[#This Row],[Μαρ-23]]</f>
        <v>-3.5449043711719493E-4</v>
      </c>
      <c r="AD11" s="107">
        <f>Table684[[#This Row],[Απρ-23]]*Table6[[#This Row],[Απρ-23]]</f>
        <v>2.0725685573540252E-4</v>
      </c>
      <c r="AE11" s="107">
        <f>Table684[[#This Row],[Μαϊ-23]]*Table6[[#This Row],[Μαϊ-23]]</f>
        <v>2.2412730458023532E-4</v>
      </c>
      <c r="AF11" s="126">
        <f>Table684[[#This Row],[Ιουν-23]]*Table6[[#This Row],[Ιουν-23]]</f>
        <v>-1.3791929303007955E-4</v>
      </c>
      <c r="AG11" s="107">
        <f>Table684[[#This Row],[Ιουλ-23]]*Table6[[#This Row],[Ιουλ-23]]</f>
        <v>2.3223086418924855E-4</v>
      </c>
      <c r="AH11" s="107">
        <f>Table684[[#This Row],[Αυγ-23]]*Table6[[#This Row],[Αυγ-23]]</f>
        <v>-4.2336683132483324E-4</v>
      </c>
      <c r="AI11" s="107">
        <f>Table684[[#This Row],[Σεπ-23]]*Table6[[#This Row],[Σεπ-23]]</f>
        <v>6.4040857410207824E-4</v>
      </c>
      <c r="AJ11" s="107">
        <f>Table684[[#This Row],[Οκτ-23]]*Table6[[#This Row],[Οκτ-23]]</f>
        <v>4.6603737210399761E-4</v>
      </c>
      <c r="AK11" s="107">
        <f>Table684[[#This Row],[Νοε-23]]*Table6[[#This Row],[Νοε-23]]</f>
        <v>4.6569934545154685E-4</v>
      </c>
      <c r="AL11" s="107">
        <f>Table684[[#This Row],[Δεκ-23]]*Table6[[#This Row],[Δεκ-23]]</f>
        <v>-5.2426562849208921E-4</v>
      </c>
      <c r="AM11" s="126">
        <f>Table684[[#This Row],[Ιαν-24]]*Table6[[#This Row],[Ιαν-24]]</f>
        <v>3.4640194528485097E-4</v>
      </c>
      <c r="AN11" s="107">
        <f>Table684[[#This Row],[Φεβ-24]]*Table6[[#This Row],[Φεβ-24]]</f>
        <v>4.2022948668375519E-4</v>
      </c>
      <c r="AO11" s="107">
        <f>Table684[[#This Row],[Μαρ-24]]*Table6[[#This Row],[Μαρ-24]]</f>
        <v>5.606148100630484E-4</v>
      </c>
      <c r="AP11" s="107">
        <f>Table684[[#This Row],[Απρ-24]]*Table6[[#This Row],[Απρ-24]]</f>
        <v>-7.841280172870632E-4</v>
      </c>
      <c r="AQ11" s="107">
        <f>Table684[[#This Row],[Μαϊ-24]]*Table6[[#This Row],[Μαϊ-24]]</f>
        <v>1.1469806971474825E-3</v>
      </c>
      <c r="AR11" s="126">
        <f>Table684[[#This Row],[Ιουν-24]]*Table6[[#This Row],[Ιουν-24]]</f>
        <v>-8.6600486321212743E-5</v>
      </c>
      <c r="AS11" s="107">
        <f>Table684[[#This Row],[Ιουλ-24]]*Table6[[#This Row],[Ιουλ-24]]</f>
        <v>-1.2840253230440475E-4</v>
      </c>
      <c r="AT11" s="107">
        <f>Table684[[#This Row],[Αυγ-24]]*Table6[[#This Row],[Αυγ-24]]</f>
        <v>6.1453315917348202E-4</v>
      </c>
      <c r="AU11" s="107">
        <f>Table684[[#This Row],[Σεπ-24]]*Table6[[#This Row],[Σεπ-24]]</f>
        <v>5.8155519408078235E-5</v>
      </c>
      <c r="AV11" s="107">
        <f>Table684[[#This Row],[Οκτ-24]]*Table6[[#This Row],[Οκτ-24]]</f>
        <v>-4.0925075177807572E-4</v>
      </c>
      <c r="AW11" s="107">
        <f>Table684[[#This Row],[Νοε-24]]*Table6[[#This Row],[Νοε-24]]</f>
        <v>1.4802449150198762E-3</v>
      </c>
      <c r="AX11" s="107">
        <f>Table684[[#This Row],[Δεκ-24]]*Table6[[#This Row],[Δεκ-24]]</f>
        <v>-2.0274239818399398E-5</v>
      </c>
      <c r="AY11" s="126">
        <f>Table684[[#This Row],[Ιαν-25]]*Table6[[#This Row],[Ιαν-25]]</f>
        <v>4.5304884047671476E-4</v>
      </c>
      <c r="AZ11" s="107">
        <f>Table684[[#This Row],[Φεβ-25]]*Table6[[#This Row],[Φεβ-25]]</f>
        <v>3.5026749146008435E-4</v>
      </c>
      <c r="BA11" s="107">
        <f>Table684[[#This Row],[Μαρ-25]]*Table6[[#This Row],[Μαρ-25]]</f>
        <v>1.5187897538729045E-4</v>
      </c>
      <c r="BB11" s="107">
        <f>Table684[[#This Row],[Απρ-25]]*Table6[[#This Row],[Απρ-25]]</f>
        <v>4.3352623331437048E-4</v>
      </c>
      <c r="BC11" s="107">
        <f>Table684[[#This Row],[Μαϊ-25]]*Table6[[#This Row],[Μαϊ-25]]</f>
        <v>-1.3908321182586059E-4</v>
      </c>
      <c r="BD11" s="126">
        <f>Table684[[#This Row],[Ιουν-25]]*Table6[[#This Row],[Ιουν-25]]</f>
        <v>-4.5545440954119289E-4</v>
      </c>
      <c r="BE11" s="107"/>
      <c r="BF11" s="153" cm="1">
        <f t="array" ref="BF11">PRODUCT(1+Table68[[#This Row],[Ιαν-21]:[Ιουν-25]])-1</f>
        <v>8.1131292222951235E-3</v>
      </c>
      <c r="BG11" s="112" t="s">
        <v>34</v>
      </c>
      <c r="BH11" s="112" t="str">
        <f>IF(Table68[[#This Row],[Cumulative Return ]]&lt;0,"Negative", IF(Table68[[#This Row],[Cumulative Return ]]&lt;0.025,"Positive","High Positive"))</f>
        <v>Positive</v>
      </c>
      <c r="BI11" s="113">
        <f>SLOPE(C11:BD11,$C$54:$BD$54)</f>
        <v>4.9247001045056634E-3</v>
      </c>
      <c r="BJ11" s="113"/>
      <c r="BK11" s="157"/>
      <c r="BM11" s="106" t="s">
        <v>204</v>
      </c>
      <c r="BN11" s="107">
        <v>3.7943849014685505E-3</v>
      </c>
      <c r="CD11" s="114" t="s">
        <v>2018</v>
      </c>
      <c r="CE11" s="170">
        <f>(CE7*12)/(CE10*SQRT(12))</f>
        <v>1.297670100541394</v>
      </c>
      <c r="CF11" s="170">
        <f>(CF7*12)/(CF10*SQRT(12))</f>
        <v>0.58882210402250867</v>
      </c>
    </row>
    <row r="12" spans="1:84">
      <c r="A12" s="110" t="s">
        <v>121</v>
      </c>
      <c r="B12" s="110" t="s">
        <v>122</v>
      </c>
      <c r="C12" s="126">
        <f>Table684[[#This Row],[Ιαν-21]]*Table6[[#This Row],[Ιαν-21]]</f>
        <v>-7.9129531990882262E-5</v>
      </c>
      <c r="D12" s="107">
        <f>Table684[[#This Row],[Φεβ-21]]*Table6[[#This Row],[Φεβ-21]]</f>
        <v>6.8836189586648144E-4</v>
      </c>
      <c r="E12" s="107">
        <f>Table684[[#This Row],[Μαρ-21]]*Table6[[#This Row],[Μαρ-21]]</f>
        <v>6.8418954417420687E-4</v>
      </c>
      <c r="F12" s="107">
        <f>Table684[[#This Row],[Απρ-21]]*Table6[[#This Row],[Απρ-21]]</f>
        <v>-1.5927774575307766E-4</v>
      </c>
      <c r="G12" s="107">
        <f>Table684[[#This Row],[Μαϊ-21]]*Table6[[#This Row],[Μαϊ-21]]</f>
        <v>4.796698498345073E-4</v>
      </c>
      <c r="H12" s="126">
        <f>Table684[[#This Row],[Ιουν-21]]*Table6[[#This Row],[Ιουν-21]]</f>
        <v>3.5907518718551619E-5</v>
      </c>
      <c r="I12" s="107">
        <f>Table684[[#This Row],[Ιουλ-21]]*Table6[[#This Row],[Ιουλ-21]]</f>
        <v>-2.1722526895527391E-5</v>
      </c>
      <c r="J12" s="107">
        <f>Table684[[#This Row],[Αυγ-21]]*Table6[[#This Row],[Αυγ-21]]</f>
        <v>1.6126621642171578E-4</v>
      </c>
      <c r="K12" s="107">
        <f>Table684[[#This Row],[Σεπ-21]]*Table6[[#This Row],[Σεπ-21]]</f>
        <v>4.1974366820330002E-4</v>
      </c>
      <c r="L12" s="107">
        <f>Table684[[#This Row],[Οκτ-21]]*Table6[[#This Row],[Οκτ-21]]</f>
        <v>3.5741171596570461E-4</v>
      </c>
      <c r="M12" s="107">
        <f>Table684[[#This Row],[Νοε-21]]*Table6[[#This Row],[Νοε-21]]</f>
        <v>-4.2093797949169172E-4</v>
      </c>
      <c r="N12" s="107">
        <f>Table684[[#This Row],[Δεκ-21]]*Table6[[#This Row],[Δεκ-21]]</f>
        <v>3.5237881658127502E-4</v>
      </c>
      <c r="O12" s="126">
        <f>Table684[[#This Row],[Ιαν-22]]*Table6[[#This Row],[Ιαν-22]]</f>
        <v>-1.795375935927581E-5</v>
      </c>
      <c r="P12" s="107">
        <f>Table684[[#This Row],[Φεβ-22]]*Table6[[#This Row],[Φεβ-22]]</f>
        <v>-3.0634193890250762E-4</v>
      </c>
      <c r="Q12" s="107">
        <f>Table684[[#This Row],[Μαρ-22]]*Table6[[#This Row],[Μαρ-22]]</f>
        <v>1.1350290526324358E-3</v>
      </c>
      <c r="R12" s="107">
        <f>Table684[[#This Row],[Απρ-22]]*Table6[[#This Row],[Απρ-22]]</f>
        <v>-9.81344863619948E-4</v>
      </c>
      <c r="S12" s="107">
        <f>Table684[[#This Row],[Μαϊ-22]]*Table6[[#This Row],[Μαϊ-22]]</f>
        <v>-2.8376138320663162E-5</v>
      </c>
      <c r="T12" s="126">
        <f>Table684[[#This Row],[Ιουν-22]]*Table6[[#This Row],[Ιουν-22]]</f>
        <v>-6.7692322324973224E-4</v>
      </c>
      <c r="U12" s="107">
        <f>Table684[[#This Row],[Ιουλ-22]]*Table6[[#This Row],[Ιουλ-22]]</f>
        <v>-2.7240523324476853E-4</v>
      </c>
      <c r="V12" s="107">
        <f>Table684[[#This Row],[Αυγ-22]]*Table6[[#This Row],[Αυγ-22]]</f>
        <v>2.2243249771723534E-5</v>
      </c>
      <c r="W12" s="107">
        <f>Table684[[#This Row],[Σεπ-22]]*Table6[[#This Row],[Σεπ-22]]</f>
        <v>-2.6253346719408178E-4</v>
      </c>
      <c r="X12" s="107">
        <f>Table684[[#This Row],[Οκτ-22]]*Table6[[#This Row],[Οκτ-22]]</f>
        <v>5.223813161770671E-4</v>
      </c>
      <c r="Y12" s="107">
        <f>Table684[[#This Row],[Νοε-22]]*Table6[[#This Row],[Νοε-22]]</f>
        <v>7.2686382147815461E-4</v>
      </c>
      <c r="Z12" s="107">
        <f>Table684[[#This Row],[Δεκ-22]]*Table6[[#This Row],[Δεκ-22]]</f>
        <v>-1.2538115858703888E-4</v>
      </c>
      <c r="AA12" s="126">
        <f>Table684[[#This Row],[Ιαν-23]]*Table6[[#This Row],[Ιαν-23]]</f>
        <v>5.1400948091556286E-4</v>
      </c>
      <c r="AB12" s="107">
        <f>Table684[[#This Row],[Φεβ-23]]*Table6[[#This Row],[Φεβ-23]]</f>
        <v>2.9690978134393474E-4</v>
      </c>
      <c r="AC12" s="107">
        <f>Table684[[#This Row],[Μαρ-23]]*Table6[[#This Row],[Μαρ-23]]</f>
        <v>-1.1872867362782876E-4</v>
      </c>
      <c r="AD12" s="107">
        <f>Table684[[#This Row],[Απρ-23]]*Table6[[#This Row],[Απρ-23]]</f>
        <v>1.7951370425494894E-4</v>
      </c>
      <c r="AE12" s="107">
        <f>Table684[[#This Row],[Μαϊ-23]]*Table6[[#This Row],[Μαϊ-23]]</f>
        <v>-4.6178250458172794E-6</v>
      </c>
      <c r="AF12" s="126">
        <f>Table684[[#This Row],[Ιουν-23]]*Table6[[#This Row],[Ιουν-23]]</f>
        <v>3.3979151972555322E-4</v>
      </c>
      <c r="AG12" s="107">
        <f>Table684[[#This Row],[Ιουλ-23]]*Table6[[#This Row],[Ιουλ-23]]</f>
        <v>2.7642700375843149E-4</v>
      </c>
      <c r="AH12" s="107">
        <f>Table684[[#This Row],[Αυγ-23]]*Table6[[#This Row],[Αυγ-23]]</f>
        <v>-8.9118850928285363E-5</v>
      </c>
      <c r="AI12" s="107">
        <f>Table684[[#This Row],[Σεπ-23]]*Table6[[#This Row],[Σεπ-23]]</f>
        <v>8.5501504029253278E-5</v>
      </c>
      <c r="AJ12" s="107">
        <f>Table684[[#This Row],[Οκτ-23]]*Table6[[#This Row],[Οκτ-23]]</f>
        <v>-2.2854760042429368E-4</v>
      </c>
      <c r="AK12" s="107">
        <f>Table684[[#This Row],[Νοε-23]]*Table6[[#This Row],[Νοε-23]]</f>
        <v>9.9997594602597639E-5</v>
      </c>
      <c r="AL12" s="107">
        <f>Table684[[#This Row],[Δεκ-23]]*Table6[[#This Row],[Δεκ-23]]</f>
        <v>3.5538057190097639E-5</v>
      </c>
      <c r="AM12" s="126">
        <f>Table684[[#This Row],[Ιαν-24]]*Table6[[#This Row],[Ιαν-24]]</f>
        <v>5.5191186178514518E-4</v>
      </c>
      <c r="AN12" s="107">
        <f>Table684[[#This Row],[Φεβ-24]]*Table6[[#This Row],[Φεβ-24]]</f>
        <v>4.2054067374018431E-4</v>
      </c>
      <c r="AO12" s="107">
        <f>Table684[[#This Row],[Μαρ-24]]*Table6[[#This Row],[Μαρ-24]]</f>
        <v>5.0964673053630841E-4</v>
      </c>
      <c r="AP12" s="107">
        <f>Table684[[#This Row],[Απρ-24]]*Table6[[#This Row],[Απρ-24]]</f>
        <v>-1.7575560057746004E-4</v>
      </c>
      <c r="AQ12" s="107">
        <f>Table684[[#This Row],[Μαϊ-24]]*Table6[[#This Row],[Μαϊ-24]]</f>
        <v>6.2226583443462501E-4</v>
      </c>
      <c r="AR12" s="126">
        <f>Table684[[#This Row],[Ιουν-24]]*Table6[[#This Row],[Ιουν-24]]</f>
        <v>-8.7108980595004847E-5</v>
      </c>
      <c r="AS12" s="107">
        <f>Table684[[#This Row],[Ιουλ-24]]*Table6[[#This Row],[Ιουλ-24]]</f>
        <v>1.8258723063920818E-4</v>
      </c>
      <c r="AT12" s="107">
        <f>Table684[[#This Row],[Αυγ-24]]*Table6[[#This Row],[Αυγ-24]]</f>
        <v>2.6346120579454676E-4</v>
      </c>
      <c r="AU12" s="107">
        <f>Table684[[#This Row],[Σεπ-24]]*Table6[[#This Row],[Σεπ-24]]</f>
        <v>2.8885641723940729E-4</v>
      </c>
      <c r="AV12" s="107">
        <f>Table684[[#This Row],[Οκτ-24]]*Table6[[#This Row],[Οκτ-24]]</f>
        <v>-1.0791105418335132E-4</v>
      </c>
      <c r="AW12" s="107">
        <f>Table684[[#This Row],[Νοε-24]]*Table6[[#This Row],[Νοε-24]]</f>
        <v>4.2268781638055272E-4</v>
      </c>
      <c r="AX12" s="107">
        <f>Table684[[#This Row],[Δεκ-24]]*Table6[[#This Row],[Δεκ-24]]</f>
        <v>5.141874469586586E-5</v>
      </c>
      <c r="AY12" s="126">
        <f>Table684[[#This Row],[Ιαν-25]]*Table6[[#This Row],[Ιαν-25]]</f>
        <v>8.1922339002325165E-4</v>
      </c>
      <c r="AZ12" s="107">
        <f>Table684[[#This Row],[Φεβ-25]]*Table6[[#This Row],[Φεβ-25]]</f>
        <v>2.5120659988735921E-4</v>
      </c>
      <c r="BA12" s="107">
        <f>Table684[[#This Row],[Μαρ-25]]*Table6[[#This Row],[Μαρ-25]]</f>
        <v>1.3831366697235052E-4</v>
      </c>
      <c r="BB12" s="107">
        <f>Table684[[#This Row],[Απρ-25]]*Table6[[#This Row],[Απρ-25]]</f>
        <v>-5.2882389227653884E-5</v>
      </c>
      <c r="BC12" s="107">
        <f>Table684[[#This Row],[Μαϊ-25]]*Table6[[#This Row],[Μαϊ-25]]</f>
        <v>2.808815078596471E-4</v>
      </c>
      <c r="BD12" s="126">
        <f>Table684[[#This Row],[Ιουν-25]]*Table6[[#This Row],[Ιουν-25]]</f>
        <v>-3.8168362489719677E-4</v>
      </c>
      <c r="BE12" s="107"/>
      <c r="BF12" s="153" cm="1">
        <f t="array" ref="BF12">PRODUCT(1+Table68[[#This Row],[Ιαν-21]:[Ιουν-25]])-1</f>
        <v>7.6421098673431498E-3</v>
      </c>
      <c r="BG12" s="112" t="s">
        <v>34</v>
      </c>
      <c r="BH12" s="112" t="str">
        <f>IF(Table68[[#This Row],[Cumulative Return ]]&lt;0,"Negative", IF(Table68[[#This Row],[Cumulative Return ]]&lt;0.025,"Positive","High Positive"))</f>
        <v>Positive</v>
      </c>
      <c r="BI12" s="113">
        <f>SLOPE(C12:BD12,$C$54:$BD$54)</f>
        <v>6.0050828021323355E-3</v>
      </c>
      <c r="BJ12" s="113"/>
      <c r="BK12" s="157"/>
      <c r="BM12" s="106" t="s">
        <v>173</v>
      </c>
      <c r="BN12" s="107">
        <v>4.2312840288281084E-3</v>
      </c>
      <c r="CD12" s="172" t="s">
        <v>2019</v>
      </c>
      <c r="CE12" s="181">
        <f>_xlfn.STDEV.P(C57:BD57)</f>
        <v>9.4274699702149699E-3</v>
      </c>
      <c r="CF12" s="181"/>
    </row>
    <row r="13" spans="1:84">
      <c r="A13" s="110" t="s">
        <v>125</v>
      </c>
      <c r="B13" s="110" t="s">
        <v>126</v>
      </c>
      <c r="C13" s="126">
        <f>Table684[[#This Row],[Ιαν-21]]*Table6[[#This Row],[Ιαν-21]]</f>
        <v>7.1695776355518246E-4</v>
      </c>
      <c r="D13" s="107">
        <f>Table684[[#This Row],[Φεβ-21]]*Table6[[#This Row],[Φεβ-21]]</f>
        <v>1.5524888664908865E-3</v>
      </c>
      <c r="E13" s="107">
        <f>Table684[[#This Row],[Μαρ-21]]*Table6[[#This Row],[Μαρ-21]]</f>
        <v>6.4315951050094536E-4</v>
      </c>
      <c r="F13" s="107">
        <f>Table684[[#This Row],[Απρ-21]]*Table6[[#This Row],[Απρ-21]]</f>
        <v>-3.4690656573466567E-4</v>
      </c>
      <c r="G13" s="107">
        <f>Table684[[#This Row],[Μαϊ-21]]*Table6[[#This Row],[Μαϊ-21]]</f>
        <v>9.0773412025298335E-4</v>
      </c>
      <c r="H13" s="126">
        <f>Table684[[#This Row],[Ιουν-21]]*Table6[[#This Row],[Ιουν-21]]</f>
        <v>-5.2318539502675481E-4</v>
      </c>
      <c r="I13" s="107">
        <f>Table684[[#This Row],[Ιουλ-21]]*Table6[[#This Row],[Ιουλ-21]]</f>
        <v>1.4201427804477306E-3</v>
      </c>
      <c r="J13" s="107">
        <f>Table684[[#This Row],[Αυγ-21]]*Table6[[#This Row],[Αυγ-21]]</f>
        <v>3.2550056087397877E-4</v>
      </c>
      <c r="K13" s="107">
        <f>Table684[[#This Row],[Σεπ-21]]*Table6[[#This Row],[Σεπ-21]]</f>
        <v>-3.4778359807192564E-4</v>
      </c>
      <c r="L13" s="107">
        <f>Table684[[#This Row],[Οκτ-21]]*Table6[[#This Row],[Οκτ-21]]</f>
        <v>2.6262312964564906E-3</v>
      </c>
      <c r="M13" s="107">
        <f>Table684[[#This Row],[Νοε-21]]*Table6[[#This Row],[Νοε-21]]</f>
        <v>-5.7098751927245166E-4</v>
      </c>
      <c r="N13" s="107">
        <f>Table684[[#This Row],[Δεκ-21]]*Table6[[#This Row],[Δεκ-21]]</f>
        <v>7.8542504256743685E-4</v>
      </c>
      <c r="O13" s="126">
        <f>Table684[[#This Row],[Ιαν-22]]*Table6[[#This Row],[Ιαν-22]]</f>
        <v>6.3363564508795865E-4</v>
      </c>
      <c r="P13" s="107">
        <f>Table684[[#This Row],[Φεβ-22]]*Table6[[#This Row],[Φεβ-22]]</f>
        <v>1.4128224549500683E-5</v>
      </c>
      <c r="Q13" s="107">
        <f>Table684[[#This Row],[Μαρ-22]]*Table6[[#This Row],[Μαρ-22]]</f>
        <v>1.7278652078958896E-3</v>
      </c>
      <c r="R13" s="107">
        <f>Table684[[#This Row],[Απρ-22]]*Table6[[#This Row],[Απρ-22]]</f>
        <v>-1.2684271562994551E-3</v>
      </c>
      <c r="S13" s="107">
        <f>Table684[[#This Row],[Μαϊ-22]]*Table6[[#This Row],[Μαϊ-22]]</f>
        <v>1.5955604614171085E-3</v>
      </c>
      <c r="T13" s="126">
        <f>Table684[[#This Row],[Ιουν-22]]*Table6[[#This Row],[Ιουν-22]]</f>
        <v>-2.3756492381585238E-3</v>
      </c>
      <c r="U13" s="107">
        <f>Table684[[#This Row],[Ιουλ-22]]*Table6[[#This Row],[Ιουλ-22]]</f>
        <v>6.64650672385968E-4</v>
      </c>
      <c r="V13" s="107">
        <f>Table684[[#This Row],[Αυγ-22]]*Table6[[#This Row],[Αυγ-22]]</f>
        <v>-1.2253004483916521E-4</v>
      </c>
      <c r="W13" s="107">
        <f>Table684[[#This Row],[Σεπ-22]]*Table6[[#This Row],[Σεπ-22]]</f>
        <v>-9.6560017509638937E-4</v>
      </c>
      <c r="X13" s="107">
        <f>Table684[[#This Row],[Οκτ-22]]*Table6[[#This Row],[Οκτ-22]]</f>
        <v>1.2894988506631988E-3</v>
      </c>
      <c r="Y13" s="107">
        <f>Table684[[#This Row],[Νοε-22]]*Table6[[#This Row],[Νοε-22]]</f>
        <v>1.7497656838571202E-3</v>
      </c>
      <c r="Z13" s="107">
        <f>Table684[[#This Row],[Δεκ-22]]*Table6[[#This Row],[Δεκ-22]]</f>
        <v>-1.3904781890714004E-4</v>
      </c>
      <c r="AA13" s="126">
        <f>Table684[[#This Row],[Ιαν-23]]*Table6[[#This Row],[Ιαν-23]]</f>
        <v>2.3097666328588582E-3</v>
      </c>
      <c r="AB13" s="107">
        <f>Table684[[#This Row],[Φεβ-23]]*Table6[[#This Row],[Φεβ-23]]</f>
        <v>1.0917662594364076E-3</v>
      </c>
      <c r="AC13" s="107">
        <f>Table684[[#This Row],[Μαρ-23]]*Table6[[#This Row],[Μαρ-23]]</f>
        <v>-1.1522266110428408E-3</v>
      </c>
      <c r="AD13" s="107">
        <f>Table684[[#This Row],[Απρ-23]]*Table6[[#This Row],[Απρ-23]]</f>
        <v>-5.7169383564502005E-4</v>
      </c>
      <c r="AE13" s="107">
        <f>Table684[[#This Row],[Μαϊ-23]]*Table6[[#This Row],[Μαϊ-23]]</f>
        <v>-6.2592004321839086E-4</v>
      </c>
      <c r="AF13" s="126">
        <f>Table684[[#This Row],[Ιουν-23]]*Table6[[#This Row],[Ιουν-23]]</f>
        <v>8.7391338206320901E-4</v>
      </c>
      <c r="AG13" s="107">
        <f>Table684[[#This Row],[Ιουλ-23]]*Table6[[#This Row],[Ιουλ-23]]</f>
        <v>1.7117912887660233E-3</v>
      </c>
      <c r="AH13" s="107">
        <f>Table684[[#This Row],[Αυγ-23]]*Table6[[#This Row],[Αυγ-23]]</f>
        <v>4.5853731485806723E-3</v>
      </c>
      <c r="AI13" s="107">
        <f>Table684[[#This Row],[Σεπ-23]]*Table6[[#This Row],[Σεπ-23]]</f>
        <v>-1.1642661278822562E-3</v>
      </c>
      <c r="AJ13" s="107">
        <f>Table684[[#This Row],[Οκτ-23]]*Table6[[#This Row],[Οκτ-23]]</f>
        <v>-1.499112881680945E-3</v>
      </c>
      <c r="AK13" s="107">
        <f>Table684[[#This Row],[Νοε-23]]*Table6[[#This Row],[Νοε-23]]</f>
        <v>4.2361569062919942E-3</v>
      </c>
      <c r="AL13" s="107">
        <f>Table684[[#This Row],[Δεκ-23]]*Table6[[#This Row],[Δεκ-23]]</f>
        <v>2.3214628647140437E-3</v>
      </c>
      <c r="AM13" s="126">
        <f>Table684[[#This Row],[Ιαν-24]]*Table6[[#This Row],[Ιαν-24]]</f>
        <v>-1.705196843050164E-4</v>
      </c>
      <c r="AN13" s="107">
        <f>Table684[[#This Row],[Φεβ-24]]*Table6[[#This Row],[Φεβ-24]]</f>
        <v>-9.8565541678905856E-4</v>
      </c>
      <c r="AO13" s="107">
        <f>Table684[[#This Row],[Μαρ-24]]*Table6[[#This Row],[Μαρ-24]]</f>
        <v>1.3752157282280761E-3</v>
      </c>
      <c r="AP13" s="107">
        <f>Table684[[#This Row],[Απρ-24]]*Table6[[#This Row],[Απρ-24]]</f>
        <v>-1.925515740707591E-3</v>
      </c>
      <c r="AQ13" s="107">
        <f>Table684[[#This Row],[Μαϊ-24]]*Table6[[#This Row],[Μαϊ-24]]</f>
        <v>2.7519870833951519E-3</v>
      </c>
      <c r="AR13" s="126">
        <f>Table684[[#This Row],[Ιουν-24]]*Table6[[#This Row],[Ιουν-24]]</f>
        <v>-1.0696234742769209E-3</v>
      </c>
      <c r="AS13" s="107">
        <f>Table684[[#This Row],[Ιουλ-24]]*Table6[[#This Row],[Ιουλ-24]]</f>
        <v>3.6489749470005266E-4</v>
      </c>
      <c r="AT13" s="107">
        <f>Table684[[#This Row],[Αυγ-24]]*Table6[[#This Row],[Αυγ-24]]</f>
        <v>-2.553868344945084E-4</v>
      </c>
      <c r="AU13" s="107">
        <f>Table684[[#This Row],[Σεπ-24]]*Table6[[#This Row],[Σεπ-24]]</f>
        <v>3.7042757686259771E-5</v>
      </c>
      <c r="AV13" s="107">
        <f>Table684[[#This Row],[Οκτ-24]]*Table6[[#This Row],[Οκτ-24]]</f>
        <v>3.5533540071435663E-4</v>
      </c>
      <c r="AW13" s="107">
        <f>Table684[[#This Row],[Νοε-24]]*Table6[[#This Row],[Νοε-24]]</f>
        <v>1.534604102411708E-3</v>
      </c>
      <c r="AX13" s="107">
        <f>Table684[[#This Row],[Δεκ-24]]*Table6[[#This Row],[Δεκ-24]]</f>
        <v>-7.1228522392767924E-4</v>
      </c>
      <c r="AY13" s="126">
        <f>Table684[[#This Row],[Ιαν-25]]*Table6[[#This Row],[Ιαν-25]]</f>
        <v>3.0926070017137063E-3</v>
      </c>
      <c r="AZ13" s="107">
        <f>Table684[[#This Row],[Φεβ-25]]*Table6[[#This Row],[Φεβ-25]]</f>
        <v>-7.4949414985588071E-4</v>
      </c>
      <c r="BA13" s="107">
        <f>Table684[[#This Row],[Μαρ-25]]*Table6[[#This Row],[Μαρ-25]]</f>
        <v>-2.8232302048701442E-3</v>
      </c>
      <c r="BB13" s="107">
        <f>Table684[[#This Row],[Απρ-25]]*Table6[[#This Row],[Απρ-25]]</f>
        <v>-3.5277887145657351E-4</v>
      </c>
      <c r="BC13" s="107">
        <f>Table684[[#This Row],[Μαϊ-25]]*Table6[[#This Row],[Μαϊ-25]]</f>
        <v>8.5923259680327707E-4</v>
      </c>
      <c r="BD13" s="126">
        <f>Table684[[#This Row],[Ιουν-25]]*Table6[[#This Row],[Ιουν-25]]</f>
        <v>4.6699140815351076E-4</v>
      </c>
      <c r="BE13" s="107"/>
      <c r="BF13" s="153" cm="1">
        <f t="array" ref="BF13">PRODUCT(1+Table68[[#This Row],[Ιαν-21]:[Ιουν-25]])-1</f>
        <v>2.4123586697385901E-2</v>
      </c>
      <c r="BG13" s="112" t="s">
        <v>34</v>
      </c>
      <c r="BH13" s="112" t="str">
        <f>IF(Table68[[#This Row],[Cumulative Return ]]&lt;0,"Negative", IF(Table68[[#This Row],[Cumulative Return ]]&lt;0.025,"Positive","High Positive"))</f>
        <v>Positive</v>
      </c>
      <c r="BI13" s="113">
        <f>SLOPE(C13:BD13,$C$54:$BD$54)</f>
        <v>2.3222378960820342E-2</v>
      </c>
      <c r="BJ13" s="113"/>
      <c r="BK13" s="157"/>
      <c r="BM13" s="106" t="s">
        <v>142</v>
      </c>
      <c r="BN13" s="107">
        <v>5.0412432616739888E-3</v>
      </c>
      <c r="CD13" s="114" t="s">
        <v>2020</v>
      </c>
      <c r="CE13" s="182">
        <f>(CE7-CF7)/CE12</f>
        <v>0.85164819637526767</v>
      </c>
      <c r="CF13" s="182"/>
    </row>
    <row r="14" spans="1:84">
      <c r="A14" s="110" t="s">
        <v>131</v>
      </c>
      <c r="B14" s="110" t="s">
        <v>132</v>
      </c>
      <c r="C14" s="126">
        <f>Table684[[#This Row],[Ιαν-21]]*Table6[[#This Row],[Ιαν-21]]</f>
        <v>-3.6507695356672378E-4</v>
      </c>
      <c r="D14" s="107">
        <f>Table684[[#This Row],[Φεβ-21]]*Table6[[#This Row],[Φεβ-21]]</f>
        <v>1.9411391446683883E-3</v>
      </c>
      <c r="E14" s="107">
        <f>Table684[[#This Row],[Μαρ-21]]*Table6[[#This Row],[Μαρ-21]]</f>
        <v>-4.2676840034295751E-3</v>
      </c>
      <c r="F14" s="107">
        <f>Table684[[#This Row],[Απρ-21]]*Table6[[#This Row],[Απρ-21]]</f>
        <v>5.649735345107258E-4</v>
      </c>
      <c r="G14" s="107">
        <f>Table684[[#This Row],[Μαϊ-21]]*Table6[[#This Row],[Μαϊ-21]]</f>
        <v>4.0715862263940295E-4</v>
      </c>
      <c r="H14" s="126">
        <f>Table684[[#This Row],[Ιουν-21]]*Table6[[#This Row],[Ιουν-21]]</f>
        <v>7.9598745613728295E-4</v>
      </c>
      <c r="I14" s="107">
        <f>Table684[[#This Row],[Ιουλ-21]]*Table6[[#This Row],[Ιουλ-21]]</f>
        <v>-8.4250242318086575E-4</v>
      </c>
      <c r="J14" s="107">
        <f>Table684[[#This Row],[Αυγ-21]]*Table6[[#This Row],[Αυγ-21]]</f>
        <v>8.5314568895820183E-4</v>
      </c>
      <c r="K14" s="107">
        <f>Table684[[#This Row],[Σεπ-21]]*Table6[[#This Row],[Σεπ-21]]</f>
        <v>-9.6689886116150614E-4</v>
      </c>
      <c r="L14" s="107">
        <f>Table684[[#This Row],[Οκτ-21]]*Table6[[#This Row],[Οκτ-21]]</f>
        <v>-4.1918705649305227E-4</v>
      </c>
      <c r="M14" s="107">
        <f>Table684[[#This Row],[Νοε-21]]*Table6[[#This Row],[Νοε-21]]</f>
        <v>-1.2449645178025796E-3</v>
      </c>
      <c r="N14" s="107">
        <f>Table684[[#This Row],[Δεκ-21]]*Table6[[#This Row],[Δεκ-21]]</f>
        <v>1.0075227253038127E-3</v>
      </c>
      <c r="O14" s="126">
        <f>Table684[[#This Row],[Ιαν-22]]*Table6[[#This Row],[Ιαν-22]]</f>
        <v>7.4361986033877748E-4</v>
      </c>
      <c r="P14" s="107">
        <f>Table684[[#This Row],[Φεβ-22]]*Table6[[#This Row],[Φεβ-22]]</f>
        <v>-1.4494538988037479E-3</v>
      </c>
      <c r="Q14" s="107">
        <f>Table684[[#This Row],[Μαρ-22]]*Table6[[#This Row],[Μαρ-22]]</f>
        <v>3.0160394687899538E-3</v>
      </c>
      <c r="R14" s="107">
        <f>Table684[[#This Row],[Απρ-22]]*Table6[[#This Row],[Απρ-22]]</f>
        <v>1.4489671381851408E-4</v>
      </c>
      <c r="S14" s="107">
        <f>Table684[[#This Row],[Μαϊ-22]]*Table6[[#This Row],[Μαϊ-22]]</f>
        <v>-1.374263124021149E-3</v>
      </c>
      <c r="T14" s="126">
        <f>Table684[[#This Row],[Ιουν-22]]*Table6[[#This Row],[Ιουν-22]]</f>
        <v>2.7680014922067169E-4</v>
      </c>
      <c r="U14" s="107">
        <f>Table684[[#This Row],[Ιουλ-22]]*Table6[[#This Row],[Ιουλ-22]]</f>
        <v>1.2676106061384541E-3</v>
      </c>
      <c r="V14" s="107">
        <f>Table684[[#This Row],[Αυγ-22]]*Table6[[#This Row],[Αυγ-22]]</f>
        <v>-2.4840261427044945E-4</v>
      </c>
      <c r="W14" s="107">
        <f>Table684[[#This Row],[Σεπ-22]]*Table6[[#This Row],[Σεπ-22]]</f>
        <v>-1.294686584766259E-3</v>
      </c>
      <c r="X14" s="107">
        <f>Table684[[#This Row],[Οκτ-22]]*Table6[[#This Row],[Οκτ-22]]</f>
        <v>2.0423282694865877E-4</v>
      </c>
      <c r="Y14" s="107">
        <f>Table684[[#This Row],[Νοε-22]]*Table6[[#This Row],[Νοε-22]]</f>
        <v>1.4140471763020486E-3</v>
      </c>
      <c r="Z14" s="107">
        <f>Table684[[#This Row],[Δεκ-22]]*Table6[[#This Row],[Δεκ-22]]</f>
        <v>-2.5258429795069958E-3</v>
      </c>
      <c r="AA14" s="126">
        <f>Table684[[#This Row],[Ιαν-23]]*Table6[[#This Row],[Ιαν-23]]</f>
        <v>6.3439601767332327E-4</v>
      </c>
      <c r="AB14" s="107">
        <f>Table684[[#This Row],[Φεβ-23]]*Table6[[#This Row],[Φεβ-23]]</f>
        <v>1.3157536890042896E-4</v>
      </c>
      <c r="AC14" s="107">
        <f>Table684[[#This Row],[Μαρ-23]]*Table6[[#This Row],[Μαρ-23]]</f>
        <v>7.6863609375318637E-4</v>
      </c>
      <c r="AD14" s="107">
        <f>Table684[[#This Row],[Απρ-23]]*Table6[[#This Row],[Απρ-23]]</f>
        <v>1.110658972977602E-3</v>
      </c>
      <c r="AE14" s="107">
        <f>Table684[[#This Row],[Μαϊ-23]]*Table6[[#This Row],[Μαϊ-23]]</f>
        <v>7.2237455255598948E-4</v>
      </c>
      <c r="AF14" s="126">
        <f>Table684[[#This Row],[Ιουν-23]]*Table6[[#This Row],[Ιουν-23]]</f>
        <v>-3.186942258594761E-4</v>
      </c>
      <c r="AG14" s="107">
        <f>Table684[[#This Row],[Ιουλ-23]]*Table6[[#This Row],[Ιουλ-23]]</f>
        <v>2.0582437889665918E-4</v>
      </c>
      <c r="AH14" s="107">
        <f>Table684[[#This Row],[Αυγ-23]]*Table6[[#This Row],[Αυγ-23]]</f>
        <v>-4.1196089707671674E-4</v>
      </c>
      <c r="AI14" s="107">
        <f>Table684[[#This Row],[Σεπ-23]]*Table6[[#This Row],[Σεπ-23]]</f>
        <v>-7.6787976616921565E-5</v>
      </c>
      <c r="AJ14" s="107">
        <f>Table684[[#This Row],[Οκτ-23]]*Table6[[#This Row],[Οκτ-23]]</f>
        <v>1.5501610303628228E-5</v>
      </c>
      <c r="AK14" s="107">
        <f>Table684[[#This Row],[Νοε-23]]*Table6[[#This Row],[Νοε-23]]</f>
        <v>1.2492917138764614E-3</v>
      </c>
      <c r="AL14" s="107">
        <f>Table684[[#This Row],[Δεκ-23]]*Table6[[#This Row],[Δεκ-23]]</f>
        <v>5.3596087121406913E-4</v>
      </c>
      <c r="AM14" s="126">
        <f>Table684[[#This Row],[Ιαν-24]]*Table6[[#This Row],[Ιαν-24]]</f>
        <v>-3.0223583860851719E-4</v>
      </c>
      <c r="AN14" s="107">
        <f>Table684[[#This Row],[Φεβ-24]]*Table6[[#This Row],[Φεβ-24]]</f>
        <v>-1.5277045099239812E-4</v>
      </c>
      <c r="AO14" s="107">
        <f>Table684[[#This Row],[Μαρ-24]]*Table6[[#This Row],[Μαρ-24]]</f>
        <v>9.6755330624326763E-4</v>
      </c>
      <c r="AP14" s="107">
        <f>Table684[[#This Row],[Απρ-24]]*Table6[[#This Row],[Απρ-24]]</f>
        <v>-8.1501034205799534E-4</v>
      </c>
      <c r="AQ14" s="107">
        <f>Table684[[#This Row],[Μαϊ-24]]*Table6[[#This Row],[Μαϊ-24]]</f>
        <v>5.0003523700249729E-4</v>
      </c>
      <c r="AR14" s="126">
        <f>Table684[[#This Row],[Ιουν-24]]*Table6[[#This Row],[Ιουν-24]]</f>
        <v>4.6831592814092026E-4</v>
      </c>
      <c r="AS14" s="107">
        <f>Table684[[#This Row],[Ιουλ-24]]*Table6[[#This Row],[Ιουλ-24]]</f>
        <v>2.2168733200016291E-4</v>
      </c>
      <c r="AT14" s="107">
        <f>Table684[[#This Row],[Αυγ-24]]*Table6[[#This Row],[Αυγ-24]]</f>
        <v>1.3322903310915178E-3</v>
      </c>
      <c r="AU14" s="107">
        <f>Table684[[#This Row],[Σεπ-24]]*Table6[[#This Row],[Σεπ-24]]</f>
        <v>1.5640948449411202E-4</v>
      </c>
      <c r="AV14" s="107">
        <f>Table684[[#This Row],[Οκτ-24]]*Table6[[#This Row],[Οκτ-24]]</f>
        <v>2.1879640186748937E-4</v>
      </c>
      <c r="AW14" s="107">
        <f>Table684[[#This Row],[Νοε-24]]*Table6[[#This Row],[Νοε-24]]</f>
        <v>1.5344648641016688E-3</v>
      </c>
      <c r="AX14" s="107">
        <f>Table684[[#This Row],[Δεκ-24]]*Table6[[#This Row],[Δεκ-24]]</f>
        <v>1.0951101837287721E-4</v>
      </c>
      <c r="AY14" s="126">
        <f>Table684[[#This Row],[Ιαν-25]]*Table6[[#This Row],[Ιαν-25]]</f>
        <v>8.0346854125135515E-4</v>
      </c>
      <c r="AZ14" s="107">
        <f>Table684[[#This Row],[Φεβ-25]]*Table6[[#This Row],[Φεβ-25]]</f>
        <v>-4.1015059619977127E-5</v>
      </c>
      <c r="BA14" s="107">
        <f>Table684[[#This Row],[Μαρ-25]]*Table6[[#This Row],[Μαρ-25]]</f>
        <v>-6.426244194508953E-4</v>
      </c>
      <c r="BB14" s="107">
        <f>Table684[[#This Row],[Απρ-25]]*Table6[[#This Row],[Απρ-25]]</f>
        <v>8.957706032899233E-5</v>
      </c>
      <c r="BC14" s="107">
        <f>Table684[[#This Row],[Μαϊ-25]]*Table6[[#This Row],[Μαϊ-25]]</f>
        <v>-2.887925813584442E-4</v>
      </c>
      <c r="BD14" s="126">
        <f>Table684[[#This Row],[Ιουν-25]]*Table6[[#This Row],[Ιουν-25]]</f>
        <v>-1.0892459926089137E-3</v>
      </c>
      <c r="BE14" s="107"/>
      <c r="BF14" s="153" cm="1">
        <f t="array" ref="BF14">PRODUCT(1+Table68[[#This Row],[Ιαν-21]:[Ιουν-25]])-1</f>
        <v>5.2553617033479494E-3</v>
      </c>
      <c r="BG14" s="112" t="s">
        <v>34</v>
      </c>
      <c r="BH14" s="112" t="str">
        <f>IF(Table68[[#This Row],[Cumulative Return ]]&lt;0,"Negative", IF(Table68[[#This Row],[Cumulative Return ]]&lt;0.025,"Positive","High Positive"))</f>
        <v>Positive</v>
      </c>
      <c r="BI14" s="113">
        <f>SLOPE(C14:BD14,$C$54:$BD$54)</f>
        <v>8.4888298776929823E-3</v>
      </c>
      <c r="BJ14" s="113"/>
      <c r="BK14" s="157"/>
      <c r="BM14" s="106" t="s">
        <v>131</v>
      </c>
      <c r="BN14" s="107">
        <v>5.2553617033479494E-3</v>
      </c>
      <c r="CD14" s="114" t="s">
        <v>2021</v>
      </c>
      <c r="CE14" s="166">
        <f>MAX(C51:BD51)-1</f>
        <v>1.1302942175150124</v>
      </c>
      <c r="CF14" s="166"/>
    </row>
    <row r="15" spans="1:84">
      <c r="A15" s="110" t="s">
        <v>137</v>
      </c>
      <c r="B15" s="110" t="s">
        <v>138</v>
      </c>
      <c r="C15" s="126">
        <f>Table684[[#This Row],[Ιαν-21]]*Table6[[#This Row],[Ιαν-21]]</f>
        <v>-5.4982296366243473E-4</v>
      </c>
      <c r="D15" s="107">
        <f>Table684[[#This Row],[Φεβ-21]]*Table6[[#This Row],[Φεβ-21]]</f>
        <v>2.2246218057483757E-4</v>
      </c>
      <c r="E15" s="107">
        <f>Table684[[#This Row],[Μαρ-21]]*Table6[[#This Row],[Μαρ-21]]</f>
        <v>5.0152770828932171E-4</v>
      </c>
      <c r="F15" s="107">
        <f>Table684[[#This Row],[Απρ-21]]*Table6[[#This Row],[Απρ-21]]</f>
        <v>9.5782884439366375E-5</v>
      </c>
      <c r="G15" s="107">
        <f>Table684[[#This Row],[Μαϊ-21]]*Table6[[#This Row],[Μαϊ-21]]</f>
        <v>-4.5451093210176782E-4</v>
      </c>
      <c r="H15" s="126">
        <f>Table684[[#This Row],[Ιουν-21]]*Table6[[#This Row],[Ιουν-21]]</f>
        <v>1.1702869933200432E-3</v>
      </c>
      <c r="I15" s="107">
        <f>Table684[[#This Row],[Ιουλ-21]]*Table6[[#This Row],[Ιουλ-21]]</f>
        <v>-5.4164725142535723E-4</v>
      </c>
      <c r="J15" s="107">
        <f>Table684[[#This Row],[Αυγ-21]]*Table6[[#This Row],[Αυγ-21]]</f>
        <v>4.4450428316933008E-4</v>
      </c>
      <c r="K15" s="107">
        <f>Table684[[#This Row],[Σεπ-21]]*Table6[[#This Row],[Σεπ-21]]</f>
        <v>-4.7098962157137998E-4</v>
      </c>
      <c r="L15" s="107">
        <f>Table684[[#This Row],[Οκτ-21]]*Table6[[#This Row],[Οκτ-21]]</f>
        <v>2.8620008413343028E-4</v>
      </c>
      <c r="M15" s="107">
        <f>Table684[[#This Row],[Νοε-21]]*Table6[[#This Row],[Νοε-21]]</f>
        <v>-3.9180319716277474E-4</v>
      </c>
      <c r="N15" s="107">
        <f>Table684[[#This Row],[Δεκ-21]]*Table6[[#This Row],[Δεκ-21]]</f>
        <v>6.9619315679628527E-4</v>
      </c>
      <c r="O15" s="126">
        <f>Table684[[#This Row],[Ιαν-22]]*Table6[[#This Row],[Ιαν-22]]</f>
        <v>8.6064365404119872E-4</v>
      </c>
      <c r="P15" s="107">
        <f>Table684[[#This Row],[Φεβ-22]]*Table6[[#This Row],[Φεβ-22]]</f>
        <v>-5.4030074869022729E-4</v>
      </c>
      <c r="Q15" s="107">
        <f>Table684[[#This Row],[Μαρ-22]]*Table6[[#This Row],[Μαρ-22]]</f>
        <v>9.9204729096394632E-4</v>
      </c>
      <c r="R15" s="107">
        <f>Table684[[#This Row],[Απρ-22]]*Table6[[#This Row],[Απρ-22]]</f>
        <v>2.8225969387701511E-5</v>
      </c>
      <c r="S15" s="107">
        <f>Table684[[#This Row],[Μαϊ-22]]*Table6[[#This Row],[Μαϊ-22]]</f>
        <v>-2.9514255097923292E-4</v>
      </c>
      <c r="T15" s="126">
        <f>Table684[[#This Row],[Ιουν-22]]*Table6[[#This Row],[Ιουν-22]]</f>
        <v>2.1074584688560134E-4</v>
      </c>
      <c r="U15" s="107">
        <f>Table684[[#This Row],[Ιουλ-22]]*Table6[[#This Row],[Ιουλ-22]]</f>
        <v>8.9406545545996931E-4</v>
      </c>
      <c r="V15" s="107">
        <f>Table684[[#This Row],[Αυγ-22]]*Table6[[#This Row],[Αυγ-22]]</f>
        <v>-1.6902115861128811E-4</v>
      </c>
      <c r="W15" s="107">
        <f>Table684[[#This Row],[Σεπ-22]]*Table6[[#This Row],[Σεπ-22]]</f>
        <v>-1.0085587927761786E-4</v>
      </c>
      <c r="X15" s="107">
        <f>Table684[[#This Row],[Οκτ-22]]*Table6[[#This Row],[Οκτ-22]]</f>
        <v>-2.1410816775494962E-4</v>
      </c>
      <c r="Y15" s="107">
        <f>Table684[[#This Row],[Νοε-22]]*Table6[[#This Row],[Νοε-22]]</f>
        <v>9.4751756828719762E-4</v>
      </c>
      <c r="Z15" s="107">
        <f>Table684[[#This Row],[Δεκ-22]]*Table6[[#This Row],[Δεκ-22]]</f>
        <v>-1.1006264219515984E-3</v>
      </c>
      <c r="AA15" s="126">
        <f>Table684[[#This Row],[Ιαν-23]]*Table6[[#This Row],[Ιαν-23]]</f>
        <v>2.0485909138600353E-4</v>
      </c>
      <c r="AB15" s="107">
        <f>Table684[[#This Row],[Φεβ-23]]*Table6[[#This Row],[Φεβ-23]]</f>
        <v>2.9656457043488686E-5</v>
      </c>
      <c r="AC15" s="107">
        <f>Table684[[#This Row],[Μαρ-23]]*Table6[[#This Row],[Μαρ-23]]</f>
        <v>9.5661295670113956E-4</v>
      </c>
      <c r="AD15" s="107">
        <f>Table684[[#This Row],[Απρ-23]]*Table6[[#This Row],[Απρ-23]]</f>
        <v>-3.929295912478342E-4</v>
      </c>
      <c r="AE15" s="107">
        <f>Table684[[#This Row],[Μαϊ-23]]*Table6[[#This Row],[Μαϊ-23]]</f>
        <v>-5.2729712563063906E-4</v>
      </c>
      <c r="AF15" s="126">
        <f>Table684[[#This Row],[Ιουν-23]]*Table6[[#This Row],[Ιουν-23]]</f>
        <v>5.4746826146259567E-4</v>
      </c>
      <c r="AG15" s="107">
        <f>Table684[[#This Row],[Ιουλ-23]]*Table6[[#This Row],[Ιουλ-23]]</f>
        <v>3.6069224170970197E-4</v>
      </c>
      <c r="AH15" s="107">
        <f>Table684[[#This Row],[Αυγ-23]]*Table6[[#This Row],[Αυγ-23]]</f>
        <v>-6.9915211890111712E-4</v>
      </c>
      <c r="AI15" s="107">
        <f>Table684[[#This Row],[Σεπ-23]]*Table6[[#This Row],[Σεπ-23]]</f>
        <v>-5.6717658128508267E-5</v>
      </c>
      <c r="AJ15" s="107">
        <f>Table684[[#This Row],[Οκτ-23]]*Table6[[#This Row],[Οκτ-23]]</f>
        <v>-5.7985501961788284E-4</v>
      </c>
      <c r="AK15" s="107">
        <f>Table684[[#This Row],[Νοε-23]]*Table6[[#This Row],[Νοε-23]]</f>
        <v>1.4209171737260232E-3</v>
      </c>
      <c r="AL15" s="107">
        <f>Table684[[#This Row],[Δεκ-23]]*Table6[[#This Row],[Δεκ-23]]</f>
        <v>8.4973966677560268E-4</v>
      </c>
      <c r="AM15" s="126">
        <f>Table684[[#This Row],[Ιαν-24]]*Table6[[#This Row],[Ιαν-24]]</f>
        <v>-1.6365180288881892E-4</v>
      </c>
      <c r="AN15" s="107">
        <f>Table684[[#This Row],[Φεβ-24]]*Table6[[#This Row],[Φεβ-24]]</f>
        <v>6.0150471599307569E-4</v>
      </c>
      <c r="AO15" s="107">
        <f>Table684[[#This Row],[Μαρ-24]]*Table6[[#This Row],[Μαρ-24]]</f>
        <v>-2.5549835772621004E-4</v>
      </c>
      <c r="AP15" s="107">
        <f>Table684[[#This Row],[Απρ-24]]*Table6[[#This Row],[Απρ-24]]</f>
        <v>-4.9409311434453495E-4</v>
      </c>
      <c r="AQ15" s="107">
        <f>Table684[[#This Row],[Μαϊ-24]]*Table6[[#This Row],[Μαϊ-24]]</f>
        <v>3.6025691081295694E-4</v>
      </c>
      <c r="AR15" s="126">
        <f>Table684[[#This Row],[Ιουν-24]]*Table6[[#This Row],[Ιουν-24]]</f>
        <v>4.4386136466967432E-4</v>
      </c>
      <c r="AS15" s="107">
        <f>Table684[[#This Row],[Ιουλ-24]]*Table6[[#This Row],[Ιουλ-24]]</f>
        <v>-7.5401601233472004E-5</v>
      </c>
      <c r="AT15" s="107">
        <f>Table684[[#This Row],[Αυγ-24]]*Table6[[#This Row],[Αυγ-24]]</f>
        <v>8.7958510971828719E-4</v>
      </c>
      <c r="AU15" s="107">
        <f>Table684[[#This Row],[Σεπ-24]]*Table6[[#This Row],[Σεπ-24]]</f>
        <v>4.8717670812692778E-4</v>
      </c>
      <c r="AV15" s="107">
        <f>Table684[[#This Row],[Οκτ-24]]*Table6[[#This Row],[Οκτ-24]]</f>
        <v>1.7263801715913568E-4</v>
      </c>
      <c r="AW15" s="107">
        <f>Table684[[#This Row],[Νοε-24]]*Table6[[#This Row],[Νοε-24]]</f>
        <v>5.1120406574621188E-4</v>
      </c>
      <c r="AX15" s="107">
        <f>Table684[[#This Row],[Δεκ-24]]*Table6[[#This Row],[Δεκ-24]]</f>
        <v>5.6228635300677738E-5</v>
      </c>
      <c r="AY15" s="126">
        <f>Table684[[#This Row],[Ιαν-25]]*Table6[[#This Row],[Ιαν-25]]</f>
        <v>8.3120987654320972E-4</v>
      </c>
      <c r="AZ15" s="107">
        <f>Table684[[#This Row],[Φεβ-25]]*Table6[[#This Row],[Φεβ-25]]</f>
        <v>6.3943973489331211E-4</v>
      </c>
      <c r="BA15" s="107">
        <f>Table684[[#This Row],[Μαρ-25]]*Table6[[#This Row],[Μαρ-25]]</f>
        <v>1.0443723692945047E-3</v>
      </c>
      <c r="BB15" s="107">
        <f>Table684[[#This Row],[Απρ-25]]*Table6[[#This Row],[Απρ-25]]</f>
        <v>4.5980949966098147E-4</v>
      </c>
      <c r="BC15" s="107">
        <f>Table684[[#This Row],[Μαϊ-25]]*Table6[[#This Row],[Μαϊ-25]]</f>
        <v>2.3146120581987202E-4</v>
      </c>
      <c r="BD15" s="126">
        <f>Table684[[#This Row],[Ιουν-25]]*Table6[[#This Row],[Ιουν-25]]</f>
        <v>-2.9080572168013144E-4</v>
      </c>
      <c r="BE15" s="107"/>
      <c r="BF15" s="153" cm="1">
        <f t="array" ref="BF15">PRODUCT(1+Table68[[#This Row],[Ιαν-21]:[Ιουν-25]])-1</f>
        <v>1.0115979027640165E-2</v>
      </c>
      <c r="BG15" s="112" t="s">
        <v>34</v>
      </c>
      <c r="BH15" s="112" t="str">
        <f>IF(Table68[[#This Row],[Cumulative Return ]]&lt;0,"Negative", IF(Table68[[#This Row],[Cumulative Return ]]&lt;0.025,"Positive","High Positive"))</f>
        <v>Positive</v>
      </c>
      <c r="BI15" s="113">
        <f>SLOPE(C15:BD15,$C$54:$BD$54)</f>
        <v>6.5030073017206718E-3</v>
      </c>
      <c r="BJ15" s="113"/>
      <c r="BK15" s="157"/>
      <c r="BM15" s="106" t="s">
        <v>257</v>
      </c>
      <c r="BN15" s="107">
        <v>5.2623203687092168E-3</v>
      </c>
      <c r="CD15" s="114" t="s">
        <v>2022</v>
      </c>
      <c r="CE15" s="166">
        <f>BD51-1</f>
        <v>1.0725705992926953</v>
      </c>
      <c r="CF15" s="166"/>
    </row>
    <row r="16" spans="1:84">
      <c r="A16" s="110" t="s">
        <v>142</v>
      </c>
      <c r="B16" s="110" t="s">
        <v>143</v>
      </c>
      <c r="C16" s="126">
        <f>Table684[[#This Row],[Ιαν-21]]*Table6[[#This Row],[Ιαν-21]]</f>
        <v>-5.9262458177409389E-4</v>
      </c>
      <c r="D16" s="107">
        <f>Table684[[#This Row],[Φεβ-21]]*Table6[[#This Row],[Φεβ-21]]</f>
        <v>-7.8320244107205322E-4</v>
      </c>
      <c r="E16" s="107">
        <f>Table684[[#This Row],[Μαρ-21]]*Table6[[#This Row],[Μαρ-21]]</f>
        <v>8.8163473103885256E-4</v>
      </c>
      <c r="F16" s="107">
        <f>Table684[[#This Row],[Απρ-21]]*Table6[[#This Row],[Απρ-21]]</f>
        <v>7.4331828702526518E-4</v>
      </c>
      <c r="G16" s="107">
        <f>Table684[[#This Row],[Μαϊ-21]]*Table6[[#This Row],[Μαϊ-21]]</f>
        <v>-1.7218026071878374E-4</v>
      </c>
      <c r="H16" s="126">
        <f>Table684[[#This Row],[Ιουν-21]]*Table6[[#This Row],[Ιουν-21]]</f>
        <v>3.6573921356042858E-4</v>
      </c>
      <c r="I16" s="107">
        <f>Table684[[#This Row],[Ιουλ-21]]*Table6[[#This Row],[Ιουλ-21]]</f>
        <v>1.3413968966765099E-3</v>
      </c>
      <c r="J16" s="107">
        <f>Table684[[#This Row],[Αυγ-21]]*Table6[[#This Row],[Αυγ-21]]</f>
        <v>5.3553052184200084E-5</v>
      </c>
      <c r="K16" s="107">
        <f>Table684[[#This Row],[Σεπ-21]]*Table6[[#This Row],[Σεπ-21]]</f>
        <v>-3.1672909162914917E-4</v>
      </c>
      <c r="L16" s="107">
        <f>Table684[[#This Row],[Οκτ-21]]*Table6[[#This Row],[Οκτ-21]]</f>
        <v>9.844428272267143E-4</v>
      </c>
      <c r="M16" s="107">
        <f>Table684[[#This Row],[Νοε-21]]*Table6[[#This Row],[Νοε-21]]</f>
        <v>-6.4211849876754439E-6</v>
      </c>
      <c r="N16" s="107">
        <f>Table684[[#This Row],[Δεκ-21]]*Table6[[#This Row],[Δεκ-21]]</f>
        <v>9.9394916719883035E-4</v>
      </c>
      <c r="O16" s="126">
        <f>Table684[[#This Row],[Ιαν-22]]*Table6[[#This Row],[Ιαν-22]]</f>
        <v>-1.2932465988178925E-3</v>
      </c>
      <c r="P16" s="107">
        <f>Table684[[#This Row],[Φεβ-22]]*Table6[[#This Row],[Φεβ-22]]</f>
        <v>-3.9324377737939674E-4</v>
      </c>
      <c r="Q16" s="107">
        <f>Table684[[#This Row],[Μαρ-22]]*Table6[[#This Row],[Μαρ-22]]</f>
        <v>-1.3916723181028652E-5</v>
      </c>
      <c r="R16" s="107">
        <f>Table684[[#This Row],[Απρ-22]]*Table6[[#This Row],[Απρ-22]]</f>
        <v>-3.6868644196890219E-4</v>
      </c>
      <c r="S16" s="107">
        <f>Table684[[#This Row],[Μαϊ-22]]*Table6[[#This Row],[Μαϊ-22]]</f>
        <v>-4.4321210742995817E-4</v>
      </c>
      <c r="T16" s="126">
        <f>Table684[[#This Row],[Ιουν-22]]*Table6[[#This Row],[Ιουν-22]]</f>
        <v>-8.5127390153767236E-4</v>
      </c>
      <c r="U16" s="107">
        <f>Table684[[#This Row],[Ιουλ-22]]*Table6[[#This Row],[Ιουλ-22]]</f>
        <v>1.9871105244423102E-3</v>
      </c>
      <c r="V16" s="107">
        <f>Table684[[#This Row],[Αυγ-22]]*Table6[[#This Row],[Αυγ-22]]</f>
        <v>-1.1550575120232425E-3</v>
      </c>
      <c r="W16" s="107">
        <f>Table684[[#This Row],[Σεπ-22]]*Table6[[#This Row],[Σεπ-22]]</f>
        <v>-2.4053986642958233E-5</v>
      </c>
      <c r="X16" s="107">
        <f>Table684[[#This Row],[Οκτ-22]]*Table6[[#This Row],[Οκτ-22]]</f>
        <v>6.4404361885670347E-4</v>
      </c>
      <c r="Y16" s="107">
        <f>Table684[[#This Row],[Νοε-22]]*Table6[[#This Row],[Νοε-22]]</f>
        <v>4.5415614534906492E-4</v>
      </c>
      <c r="Z16" s="107">
        <f>Table684[[#This Row],[Δεκ-22]]*Table6[[#This Row],[Δεκ-22]]</f>
        <v>-5.3880972220393425E-4</v>
      </c>
      <c r="AA16" s="126">
        <f>Table684[[#This Row],[Ιαν-23]]*Table6[[#This Row],[Ιαν-23]]</f>
        <v>5.4089471782137817E-4</v>
      </c>
      <c r="AB16" s="107">
        <f>Table684[[#This Row],[Φεβ-23]]*Table6[[#This Row],[Φεβ-23]]</f>
        <v>-3.9504286199242705E-4</v>
      </c>
      <c r="AC16" s="107">
        <f>Table684[[#This Row],[Μαρ-23]]*Table6[[#This Row],[Μαρ-23]]</f>
        <v>-4.6097056094314268E-4</v>
      </c>
      <c r="AD16" s="107">
        <f>Table684[[#This Row],[Απρ-23]]*Table6[[#This Row],[Απρ-23]]</f>
        <v>4.6695672914252016E-4</v>
      </c>
      <c r="AE16" s="107">
        <f>Table684[[#This Row],[Μαϊ-23]]*Table6[[#This Row],[Μαϊ-23]]</f>
        <v>2.360121184170992E-4</v>
      </c>
      <c r="AF16" s="126">
        <f>Table684[[#This Row],[Ιουν-23]]*Table6[[#This Row],[Ιουν-23]]</f>
        <v>6.978993926252346E-4</v>
      </c>
      <c r="AG16" s="107">
        <f>Table684[[#This Row],[Ιουλ-23]]*Table6[[#This Row],[Ιουλ-23]]</f>
        <v>0</v>
      </c>
      <c r="AH16" s="107">
        <f>Table684[[#This Row],[Αυγ-23]]*Table6[[#This Row],[Αυγ-23]]</f>
        <v>-7.6108405332908494E-4</v>
      </c>
      <c r="AI16" s="107">
        <f>Table684[[#This Row],[Σεπ-23]]*Table6[[#This Row],[Σεπ-23]]</f>
        <v>-3.2743901451193197E-4</v>
      </c>
      <c r="AJ16" s="107">
        <f>Table684[[#This Row],[Οκτ-23]]*Table6[[#This Row],[Οκτ-23]]</f>
        <v>-6.659138148245831E-4</v>
      </c>
      <c r="AK16" s="107">
        <f>Table684[[#This Row],[Νοε-23]]*Table6[[#This Row],[Νοε-23]]</f>
        <v>1.4291841043519438E-3</v>
      </c>
      <c r="AL16" s="107">
        <f>Table684[[#This Row],[Δεκ-23]]*Table6[[#This Row],[Δεκ-23]]</f>
        <v>8.615628134739725E-4</v>
      </c>
      <c r="AM16" s="126">
        <f>Table684[[#This Row],[Ιαν-24]]*Table6[[#This Row],[Ιαν-24]]</f>
        <v>4.6193860968302266E-4</v>
      </c>
      <c r="AN16" s="107">
        <f>Table684[[#This Row],[Φεβ-24]]*Table6[[#This Row],[Φεβ-24]]</f>
        <v>2.2127958302232791E-4</v>
      </c>
      <c r="AO16" s="107">
        <f>Table684[[#This Row],[Μαρ-24]]*Table6[[#This Row],[Μαρ-24]]</f>
        <v>1.9759302489809978E-4</v>
      </c>
      <c r="AP16" s="107">
        <f>Table684[[#This Row],[Απρ-24]]*Table6[[#This Row],[Απρ-24]]</f>
        <v>-5.3336389345755276E-4</v>
      </c>
      <c r="AQ16" s="107">
        <f>Table684[[#This Row],[Μαϊ-24]]*Table6[[#This Row],[Μαϊ-24]]</f>
        <v>9.6663498671857345E-4</v>
      </c>
      <c r="AR16" s="126">
        <f>Table684[[#This Row],[Ιουν-24]]*Table6[[#This Row],[Ιουν-24]]</f>
        <v>3.2762247170053276E-4</v>
      </c>
      <c r="AS16" s="107">
        <f>Table684[[#This Row],[Ιουλ-24]]*Table6[[#This Row],[Ιουλ-24]]</f>
        <v>2.7589197950310965E-5</v>
      </c>
      <c r="AT16" s="107">
        <f>Table684[[#This Row],[Αυγ-24]]*Table6[[#This Row],[Αυγ-24]]</f>
        <v>2.6915554826564648E-5</v>
      </c>
      <c r="AU16" s="107">
        <f>Table684[[#This Row],[Σεπ-24]]*Table6[[#This Row],[Σεπ-24]]</f>
        <v>7.2952167985365624E-4</v>
      </c>
      <c r="AV16" s="107">
        <f>Table684[[#This Row],[Οκτ-24]]*Table6[[#This Row],[Οκτ-24]]</f>
        <v>-5.2686179902093914E-4</v>
      </c>
      <c r="AW16" s="107">
        <f>Table684[[#This Row],[Νοε-24]]*Table6[[#This Row],[Νοε-24]]</f>
        <v>9.3825402203555363E-5</v>
      </c>
      <c r="AX16" s="107">
        <f>Table684[[#This Row],[Δεκ-24]]*Table6[[#This Row],[Δεκ-24]]</f>
        <v>-7.2662232398856873E-4</v>
      </c>
      <c r="AY16" s="126">
        <f>Table684[[#This Row],[Ιαν-25]]*Table6[[#This Row],[Ιαν-25]]</f>
        <v>1.4012440340875974E-3</v>
      </c>
      <c r="AZ16" s="107">
        <f>Table684[[#This Row],[Φεβ-25]]*Table6[[#This Row],[Φεβ-25]]</f>
        <v>-4.7015783048257346E-4</v>
      </c>
      <c r="BA16" s="107">
        <f>Table684[[#This Row],[Μαρ-25]]*Table6[[#This Row],[Μαρ-25]]</f>
        <v>-5.778106941646665E-4</v>
      </c>
      <c r="BB16" s="107">
        <f>Table684[[#This Row],[Απρ-25]]*Table6[[#This Row],[Απρ-25]]</f>
        <v>2.1167891760071958E-4</v>
      </c>
      <c r="BC16" s="107">
        <f>Table684[[#This Row],[Μαϊ-25]]*Table6[[#This Row],[Μαϊ-25]]</f>
        <v>2.6596742260562951E-5</v>
      </c>
      <c r="BD16" s="126">
        <f>Table684[[#This Row],[Ιουν-25]]*Table6[[#This Row],[Ιουν-25]]</f>
        <v>6.5342986045535613E-5</v>
      </c>
      <c r="BE16" s="107"/>
      <c r="BF16" s="153" cm="1">
        <f t="array" ref="BF16">PRODUCT(1+Table68[[#This Row],[Ιαν-21]:[Ιουν-25]])-1</f>
        <v>5.0412432616739888E-3</v>
      </c>
      <c r="BG16" s="112" t="s">
        <v>34</v>
      </c>
      <c r="BH16" s="112" t="str">
        <f>IF(Table68[[#This Row],[Cumulative Return ]]&lt;0,"Negative", IF(Table68[[#This Row],[Cumulative Return ]]&lt;0.025,"Positive","High Positive"))</f>
        <v>Positive</v>
      </c>
      <c r="BI16" s="113">
        <f>SLOPE(C16:BD16,$C$54:$BD$54)</f>
        <v>1.3935257914634762E-2</v>
      </c>
      <c r="BJ16" s="113"/>
      <c r="BK16" s="157"/>
      <c r="BM16" s="106" t="s">
        <v>182</v>
      </c>
      <c r="BN16" s="107">
        <v>5.3945146006699751E-3</v>
      </c>
      <c r="CD16" s="172" t="s">
        <v>2023</v>
      </c>
      <c r="CE16" s="171">
        <f>(CE15-CE14)/CE15</f>
        <v>-5.3818012781986398E-2</v>
      </c>
      <c r="CF16" s="171"/>
    </row>
    <row r="17" spans="1:84">
      <c r="A17" s="110" t="s">
        <v>109</v>
      </c>
      <c r="B17" s="110" t="s">
        <v>110</v>
      </c>
      <c r="C17" s="126">
        <f>Table684[[#This Row],[Ιαν-21]]*Table6[[#This Row],[Ιαν-21]]</f>
        <v>3.6877146680430787E-3</v>
      </c>
      <c r="D17" s="107">
        <f>Table684[[#This Row],[Φεβ-21]]*Table6[[#This Row],[Φεβ-21]]</f>
        <v>1.303157569337093E-3</v>
      </c>
      <c r="E17" s="107">
        <f>Table684[[#This Row],[Μαρ-21]]*Table6[[#This Row],[Μαρ-21]]</f>
        <v>3.9900569014619256E-3</v>
      </c>
      <c r="F17" s="107">
        <f>Table684[[#This Row],[Απρ-21]]*Table6[[#This Row],[Απρ-21]]</f>
        <v>-3.5826604453051614E-4</v>
      </c>
      <c r="G17" s="107">
        <f>Table684[[#This Row],[Μαϊ-21]]*Table6[[#This Row],[Μαϊ-21]]</f>
        <v>-1.8668025397606436E-3</v>
      </c>
      <c r="H17" s="126">
        <f>Table684[[#This Row],[Ιουν-21]]*Table6[[#This Row],[Ιουν-21]]</f>
        <v>3.5450958687264952E-4</v>
      </c>
      <c r="I17" s="107">
        <f>Table684[[#This Row],[Ιουλ-21]]*Table6[[#This Row],[Ιουλ-21]]</f>
        <v>-7.8512420997159653E-4</v>
      </c>
      <c r="J17" s="107">
        <f>Table684[[#This Row],[Αυγ-21]]*Table6[[#This Row],[Αυγ-21]]</f>
        <v>2.522885748224085E-3</v>
      </c>
      <c r="K17" s="107">
        <f>Table684[[#This Row],[Σεπ-21]]*Table6[[#This Row],[Σεπ-21]]</f>
        <v>6.1348993665061844E-4</v>
      </c>
      <c r="L17" s="107">
        <f>Table684[[#This Row],[Οκτ-21]]*Table6[[#This Row],[Οκτ-21]]</f>
        <v>-5.5721884577988716E-4</v>
      </c>
      <c r="M17" s="107">
        <f>Table684[[#This Row],[Νοε-21]]*Table6[[#This Row],[Νοε-21]]</f>
        <v>3.0289123629016876E-4</v>
      </c>
      <c r="N17" s="107">
        <f>Table684[[#This Row],[Δεκ-21]]*Table6[[#This Row],[Δεκ-21]]</f>
        <v>3.3348292696643205E-3</v>
      </c>
      <c r="O17" s="126">
        <f>Table684[[#This Row],[Ιαν-22]]*Table6[[#This Row],[Ιαν-22]]</f>
        <v>-3.1824366361786127E-3</v>
      </c>
      <c r="P17" s="107">
        <f>Table684[[#This Row],[Φεβ-22]]*Table6[[#This Row],[Φεβ-22]]</f>
        <v>-3.3190987723312952E-3</v>
      </c>
      <c r="Q17" s="107">
        <f>Table684[[#This Row],[Μαρ-22]]*Table6[[#This Row],[Μαρ-22]]</f>
        <v>1.613155835654782E-4</v>
      </c>
      <c r="R17" s="107">
        <f>Table684[[#This Row],[Απρ-22]]*Table6[[#This Row],[Απρ-22]]</f>
        <v>-2.6246950369663109E-3</v>
      </c>
      <c r="S17" s="107">
        <f>Table684[[#This Row],[Μαϊ-22]]*Table6[[#This Row],[Μαϊ-22]]</f>
        <v>1.9506702421452982E-3</v>
      </c>
      <c r="T17" s="126">
        <f>Table684[[#This Row],[Ιουν-22]]*Table6[[#This Row],[Ιουν-22]]</f>
        <v>-8.5326790219692888E-3</v>
      </c>
      <c r="U17" s="107">
        <f>Table684[[#This Row],[Ιουλ-22]]*Table6[[#This Row],[Ιουλ-22]]</f>
        <v>4.0756129799822361E-3</v>
      </c>
      <c r="V17" s="107">
        <f>Table684[[#This Row],[Αυγ-22]]*Table6[[#This Row],[Αυγ-22]]</f>
        <v>-2.5242527096014425E-3</v>
      </c>
      <c r="W17" s="107">
        <f>Table684[[#This Row],[Σεπ-22]]*Table6[[#This Row],[Σεπ-22]]</f>
        <v>-6.0675199781602316E-4</v>
      </c>
      <c r="X17" s="107">
        <f>Table684[[#This Row],[Οκτ-22]]*Table6[[#This Row],[Οκτ-22]]</f>
        <v>4.2337036144412801E-3</v>
      </c>
      <c r="Y17" s="107">
        <f>Table684[[#This Row],[Νοε-22]]*Table6[[#This Row],[Νοε-22]]</f>
        <v>7.7864338696764747E-3</v>
      </c>
      <c r="Z17" s="107">
        <f>Table684[[#This Row],[Δεκ-22]]*Table6[[#This Row],[Δεκ-22]]</f>
        <v>-1.0812440577024707E-3</v>
      </c>
      <c r="AA17" s="126">
        <f>Table684[[#This Row],[Ιαν-23]]*Table6[[#This Row],[Ιαν-23]]</f>
        <v>4.2704143338222617E-3</v>
      </c>
      <c r="AB17" s="107">
        <f>Table684[[#This Row],[Φεβ-23]]*Table6[[#This Row],[Φεβ-23]]</f>
        <v>1.6512398581020593E-3</v>
      </c>
      <c r="AC17" s="107">
        <f>Table684[[#This Row],[Μαρ-23]]*Table6[[#This Row],[Μαρ-23]]</f>
        <v>1.2865919431016186E-3</v>
      </c>
      <c r="AD17" s="107">
        <f>Table684[[#This Row],[Απρ-23]]*Table6[[#This Row],[Απρ-23]]</f>
        <v>-2.0346243823161618E-4</v>
      </c>
      <c r="AE17" s="107">
        <f>Table684[[#This Row],[Μαϊ-23]]*Table6[[#This Row],[Μαϊ-23]]</f>
        <v>1.4674528453815911E-3</v>
      </c>
      <c r="AF17" s="126">
        <f>Table684[[#This Row],[Ιουν-23]]*Table6[[#This Row],[Ιουν-23]]</f>
        <v>-1.9966631904321642E-4</v>
      </c>
      <c r="AG17" s="107">
        <f>Table684[[#This Row],[Ιουλ-23]]*Table6[[#This Row],[Ιουλ-23]]</f>
        <v>5.0704884706253921E-4</v>
      </c>
      <c r="AH17" s="107">
        <f>Table684[[#This Row],[Αυγ-23]]*Table6[[#This Row],[Αυγ-23]]</f>
        <v>-4.0214030846958976E-3</v>
      </c>
      <c r="AI17" s="107">
        <f>Table684[[#This Row],[Σεπ-23]]*Table6[[#This Row],[Σεπ-23]]</f>
        <v>-9.2361367110292908E-4</v>
      </c>
      <c r="AJ17" s="107">
        <f>Table684[[#This Row],[Οκτ-23]]*Table6[[#This Row],[Οκτ-23]]</f>
        <v>-2.6583630117704964E-3</v>
      </c>
      <c r="AK17" s="107">
        <f>Table684[[#This Row],[Νοε-23]]*Table6[[#This Row],[Νοε-23]]</f>
        <v>7.8764723440787575E-3</v>
      </c>
      <c r="AL17" s="107">
        <f>Table684[[#This Row],[Δεκ-23]]*Table6[[#This Row],[Δεκ-23]]</f>
        <v>3.9384246689534814E-3</v>
      </c>
      <c r="AM17" s="126">
        <f>Table684[[#This Row],[Ιαν-24]]*Table6[[#This Row],[Ιαν-24]]</f>
        <v>-9.0053584711328224E-4</v>
      </c>
      <c r="AN17" s="107">
        <f>Table684[[#This Row],[Φεβ-24]]*Table6[[#This Row],[Φεβ-24]]</f>
        <v>5.1984703267808222E-3</v>
      </c>
      <c r="AO17" s="107">
        <f>Table684[[#This Row],[Μαρ-24]]*Table6[[#This Row],[Μαρ-24]]</f>
        <v>-1.4153566004780373E-3</v>
      </c>
      <c r="AP17" s="107">
        <f>Table684[[#This Row],[Απρ-24]]*Table6[[#This Row],[Απρ-24]]</f>
        <v>-3.1445624560441328E-4</v>
      </c>
      <c r="AQ17" s="107">
        <f>Table684[[#This Row],[Μαϊ-24]]*Table6[[#This Row],[Μαϊ-24]]</f>
        <v>3.7515212214275139E-4</v>
      </c>
      <c r="AR17" s="126">
        <f>Table684[[#This Row],[Ιουν-24]]*Table6[[#This Row],[Ιουν-24]]</f>
        <v>-7.9051563049763239E-4</v>
      </c>
      <c r="AS17" s="107">
        <f>Table684[[#This Row],[Ιουλ-24]]*Table6[[#This Row],[Ιουλ-24]]</f>
        <v>-9.9450884631787457E-4</v>
      </c>
      <c r="AT17" s="107">
        <f>Table684[[#This Row],[Αυγ-24]]*Table6[[#This Row],[Αυγ-24]]</f>
        <v>1.8412135494965426E-4</v>
      </c>
      <c r="AU17" s="107">
        <f>Table684[[#This Row],[Σεπ-24]]*Table6[[#This Row],[Σεπ-24]]</f>
        <v>2.4541417960281696E-3</v>
      </c>
      <c r="AV17" s="107">
        <f>Table684[[#This Row],[Οκτ-24]]*Table6[[#This Row],[Οκτ-24]]</f>
        <v>-5.8775897841132458E-4</v>
      </c>
      <c r="AW17" s="107">
        <f>Table684[[#This Row],[Νοε-24]]*Table6[[#This Row],[Νοε-24]]</f>
        <v>9.0258123477813775E-4</v>
      </c>
      <c r="AX17" s="107">
        <f>Table684[[#This Row],[Δεκ-24]]*Table6[[#This Row],[Δεκ-24]]</f>
        <v>1.2744866965177951E-3</v>
      </c>
      <c r="AY17" s="126">
        <f>Table684[[#This Row],[Ιαν-25]]*Table6[[#This Row],[Ιαν-25]]</f>
        <v>3.7162384279063954E-3</v>
      </c>
      <c r="AZ17" s="107">
        <f>Table684[[#This Row],[Φεβ-25]]*Table6[[#This Row],[Φεβ-25]]</f>
        <v>3.9990993218573558E-3</v>
      </c>
      <c r="BA17" s="107">
        <f>Table684[[#This Row],[Μαρ-25]]*Table6[[#This Row],[Μαρ-25]]</f>
        <v>-1.5274436601493977E-3</v>
      </c>
      <c r="BB17" s="107">
        <f>Table684[[#This Row],[Απρ-25]]*Table6[[#This Row],[Απρ-25]]</f>
        <v>-1.950091445502141E-3</v>
      </c>
      <c r="BC17" s="107">
        <f>Table684[[#This Row],[Μαϊ-25]]*Table6[[#This Row],[Μαϊ-25]]</f>
        <v>2.0160233061940667E-3</v>
      </c>
      <c r="BD17" s="126">
        <f>Table684[[#This Row],[Ιουν-25]]*Table6[[#This Row],[Ιουν-25]]</f>
        <v>1.0024064180536988E-3</v>
      </c>
      <c r="BE17" s="107"/>
      <c r="BF17" s="153" cm="1">
        <f t="array" ref="BF17">PRODUCT(1+Table68[[#This Row],[Ιαν-21]:[Ιουν-25]])-1</f>
        <v>3.4871477637751669E-2</v>
      </c>
      <c r="BG17" s="112" t="s">
        <v>48</v>
      </c>
      <c r="BH17" s="112" t="str">
        <f>IF(Table68[[#This Row],[Cumulative Return ]]&lt;0,"Negative", IF(Table68[[#This Row],[Cumulative Return ]]&lt;0.025,"Positive","High Positive"))</f>
        <v>High Positive</v>
      </c>
      <c r="BI17" s="113">
        <f>SLOPE(C17:BD17,$C$54:$BD$54)</f>
        <v>5.6718390370678815E-2</v>
      </c>
      <c r="BJ17" s="113"/>
      <c r="BK17" s="157"/>
      <c r="BM17" s="106" t="s">
        <v>117</v>
      </c>
      <c r="BN17" s="107">
        <v>5.9651813797145792E-3</v>
      </c>
      <c r="CD17" s="172" t="s">
        <v>2024</v>
      </c>
      <c r="CE17" s="171">
        <f>(1+BF50)^0.2 -1</f>
        <v>0.15691610461846195</v>
      </c>
      <c r="CF17" s="171">
        <f>(1+CF6)^0.2 -1</f>
        <v>6.2268997275349847E-2</v>
      </c>
    </row>
    <row r="18" spans="1:84">
      <c r="A18" s="110" t="s">
        <v>134</v>
      </c>
      <c r="B18" s="110" t="s">
        <v>135</v>
      </c>
      <c r="C18" s="126">
        <f>Table684[[#This Row],[Ιαν-21]]*Table6[[#This Row],[Ιαν-21]]</f>
        <v>7.0212331971240946E-4</v>
      </c>
      <c r="D18" s="107">
        <f>Table684[[#This Row],[Φεβ-21]]*Table6[[#This Row],[Φεβ-21]]</f>
        <v>5.0880386780397435E-4</v>
      </c>
      <c r="E18" s="107">
        <f>Table684[[#This Row],[Μαρ-21]]*Table6[[#This Row],[Μαρ-21]]</f>
        <v>1.904149925112744E-3</v>
      </c>
      <c r="F18" s="107">
        <f>Table684[[#This Row],[Απρ-21]]*Table6[[#This Row],[Απρ-21]]</f>
        <v>6.6896139158481311E-4</v>
      </c>
      <c r="G18" s="107">
        <f>Table684[[#This Row],[Μαϊ-21]]*Table6[[#This Row],[Μαϊ-21]]</f>
        <v>-2.5545342263951924E-4</v>
      </c>
      <c r="H18" s="126">
        <f>Table684[[#This Row],[Ιουν-21]]*Table6[[#This Row],[Ιουν-21]]</f>
        <v>7.9302321378231955E-4</v>
      </c>
      <c r="I18" s="107">
        <f>Table684[[#This Row],[Ιουλ-21]]*Table6[[#This Row],[Ιουλ-21]]</f>
        <v>2.0568166551105335E-3</v>
      </c>
      <c r="J18" s="107">
        <f>Table684[[#This Row],[Αυγ-21]]*Table6[[#This Row],[Αυγ-21]]</f>
        <v>2.3553110895091905E-3</v>
      </c>
      <c r="K18" s="107">
        <f>Table684[[#This Row],[Σεπ-21]]*Table6[[#This Row],[Σεπ-21]]</f>
        <v>-1.6972513186516904E-3</v>
      </c>
      <c r="L18" s="107">
        <f>Table684[[#This Row],[Οκτ-21]]*Table6[[#This Row],[Οκτ-21]]</f>
        <v>1.1724801356478734E-3</v>
      </c>
      <c r="M18" s="107">
        <f>Table684[[#This Row],[Νοε-21]]*Table6[[#This Row],[Νοε-21]]</f>
        <v>1.645688674012728E-3</v>
      </c>
      <c r="N18" s="107">
        <f>Table684[[#This Row],[Δεκ-21]]*Table6[[#This Row],[Δεκ-21]]</f>
        <v>3.7982507964240413E-3</v>
      </c>
      <c r="O18" s="126">
        <f>Table684[[#This Row],[Ιαν-22]]*Table6[[#This Row],[Ιαν-22]]</f>
        <v>-4.197067522745161E-3</v>
      </c>
      <c r="P18" s="107">
        <f>Table684[[#This Row],[Φεβ-22]]*Table6[[#This Row],[Φεβ-22]]</f>
        <v>-1.755152962097682E-3</v>
      </c>
      <c r="Q18" s="107">
        <f>Table684[[#This Row],[Μαρ-22]]*Table6[[#This Row],[Μαρ-22]]</f>
        <v>2.3544126019765751E-3</v>
      </c>
      <c r="R18" s="107">
        <f>Table684[[#This Row],[Απρ-22]]*Table6[[#This Row],[Απρ-22]]</f>
        <v>-2.7069121815478472E-3</v>
      </c>
      <c r="S18" s="107">
        <f>Table684[[#This Row],[Μαϊ-22]]*Table6[[#This Row],[Μαϊ-22]]</f>
        <v>-1.0508479507882974E-3</v>
      </c>
      <c r="T18" s="126">
        <f>Table684[[#This Row],[Ιουν-22]]*Table6[[#This Row],[Ιουν-22]]</f>
        <v>-3.9212333614295717E-3</v>
      </c>
      <c r="U18" s="107">
        <f>Table684[[#This Row],[Ιουλ-22]]*Table6[[#This Row],[Ιουλ-22]]</f>
        <v>5.7088335209171948E-3</v>
      </c>
      <c r="V18" s="107">
        <f>Table684[[#This Row],[Αυγ-22]]*Table6[[#This Row],[Αυγ-22]]</f>
        <v>-3.9150027967117694E-3</v>
      </c>
      <c r="W18" s="107">
        <f>Table684[[#This Row],[Σεπ-22]]*Table6[[#This Row],[Σεπ-22]]</f>
        <v>-4.8214246153273187E-4</v>
      </c>
      <c r="X18" s="107">
        <f>Table684[[#This Row],[Οκτ-22]]*Table6[[#This Row],[Οκτ-22]]</f>
        <v>3.1277567155670641E-3</v>
      </c>
      <c r="Y18" s="107">
        <f>Table684[[#This Row],[Νοε-22]]*Table6[[#This Row],[Νοε-22]]</f>
        <v>2.7413000373501871E-3</v>
      </c>
      <c r="Z18" s="107">
        <f>Table684[[#This Row],[Δεκ-22]]*Table6[[#This Row],[Δεκ-22]]</f>
        <v>-1.9563827771404718E-3</v>
      </c>
      <c r="AA18" s="126">
        <f>Table684[[#This Row],[Ιαν-23]]*Table6[[#This Row],[Ιαν-23]]</f>
        <v>4.2190088764861742E-3</v>
      </c>
      <c r="AB18" s="107">
        <f>Table684[[#This Row],[Φεβ-23]]*Table6[[#This Row],[Φεβ-23]]</f>
        <v>8.3484509240911125E-4</v>
      </c>
      <c r="AC18" s="107">
        <f>Table684[[#This Row],[Μαρ-23]]*Table6[[#This Row],[Μαρ-23]]</f>
        <v>3.3848439159189303E-4</v>
      </c>
      <c r="AD18" s="107">
        <f>Table684[[#This Row],[Απρ-23]]*Table6[[#This Row],[Απρ-23]]</f>
        <v>8.8940887306395832E-4</v>
      </c>
      <c r="AE18" s="107">
        <f>Table684[[#This Row],[Μαϊ-23]]*Table6[[#This Row],[Μαϊ-23]]</f>
        <v>1.420697141994E-3</v>
      </c>
      <c r="AF18" s="126">
        <f>Table684[[#This Row],[Ιουν-23]]*Table6[[#This Row],[Ιουν-23]]</f>
        <v>9.9362987655729376E-4</v>
      </c>
      <c r="AG18" s="107">
        <f>Table684[[#This Row],[Ιουλ-23]]*Table6[[#This Row],[Ιουλ-23]]</f>
        <v>-8.3384451796411955E-4</v>
      </c>
      <c r="AH18" s="107">
        <f>Table684[[#This Row],[Αυγ-23]]*Table6[[#This Row],[Αυγ-23]]</f>
        <v>-6.3973606924402394E-4</v>
      </c>
      <c r="AI18" s="107">
        <f>Table684[[#This Row],[Σεπ-23]]*Table6[[#This Row],[Σεπ-23]]</f>
        <v>-3.0119050211373932E-4</v>
      </c>
      <c r="AJ18" s="107">
        <f>Table684[[#This Row],[Οκτ-23]]*Table6[[#This Row],[Οκτ-23]]</f>
        <v>-2.2890400396188438E-3</v>
      </c>
      <c r="AK18" s="107">
        <f>Table684[[#This Row],[Νοε-23]]*Table6[[#This Row],[Νοε-23]]</f>
        <v>4.6964599625302734E-3</v>
      </c>
      <c r="AL18" s="107">
        <f>Table684[[#This Row],[Δεκ-23]]*Table6[[#This Row],[Δεκ-23]]</f>
        <v>2.4014649802013457E-3</v>
      </c>
      <c r="AM18" s="126">
        <f>Table684[[#This Row],[Ιαν-24]]*Table6[[#This Row],[Ιαν-24]]</f>
        <v>1.9433770456325617E-4</v>
      </c>
      <c r="AN18" s="107">
        <f>Table684[[#This Row],[Φεβ-24]]*Table6[[#This Row],[Φεβ-24]]</f>
        <v>4.5610395038856175E-3</v>
      </c>
      <c r="AO18" s="107">
        <f>Table684[[#This Row],[Μαρ-24]]*Table6[[#This Row],[Μαρ-24]]</f>
        <v>-2.406483390372428E-5</v>
      </c>
      <c r="AP18" s="107">
        <f>Table684[[#This Row],[Απρ-24]]*Table6[[#This Row],[Απρ-24]]</f>
        <v>8.4653689916569096E-4</v>
      </c>
      <c r="AQ18" s="107">
        <f>Table684[[#This Row],[Μαϊ-24]]*Table6[[#This Row],[Μαϊ-24]]</f>
        <v>2.4506723524619746E-3</v>
      </c>
      <c r="AR18" s="126">
        <f>Table684[[#This Row],[Ιουν-24]]*Table6[[#This Row],[Ιουν-24]]</f>
        <v>-4.3255811660853792E-4</v>
      </c>
      <c r="AS18" s="107">
        <f>Table684[[#This Row],[Ιουλ-24]]*Table6[[#This Row],[Ιουλ-24]]</f>
        <v>-2.0329030016438585E-4</v>
      </c>
      <c r="AT18" s="107">
        <f>Table684[[#This Row],[Αυγ-24]]*Table6[[#This Row],[Αυγ-24]]</f>
        <v>9.2793205497134065E-4</v>
      </c>
      <c r="AU18" s="107">
        <f>Table684[[#This Row],[Σεπ-24]]*Table6[[#This Row],[Σεπ-24]]</f>
        <v>8.5837263911960678E-4</v>
      </c>
      <c r="AV18" s="107">
        <f>Table684[[#This Row],[Οκτ-24]]*Table6[[#This Row],[Οκτ-24]]</f>
        <v>1.3101043776367764E-4</v>
      </c>
      <c r="AW18" s="107">
        <f>Table684[[#This Row],[Νοε-24]]*Table6[[#This Row],[Νοε-24]]</f>
        <v>8.5220940495343259E-4</v>
      </c>
      <c r="AX18" s="107">
        <f>Table684[[#This Row],[Δεκ-24]]*Table6[[#This Row],[Δεκ-24]]</f>
        <v>-3.4563312179965633E-4</v>
      </c>
      <c r="AY18" s="126">
        <f>Table684[[#This Row],[Ιαν-25]]*Table6[[#This Row],[Ιαν-25]]</f>
        <v>5.7987863458390954E-4</v>
      </c>
      <c r="AZ18" s="107">
        <f>Table684[[#This Row],[Φεβ-25]]*Table6[[#This Row],[Φεβ-25]]</f>
        <v>-1.3792821306654675E-3</v>
      </c>
      <c r="BA18" s="107">
        <f>Table684[[#This Row],[Μαρ-25]]*Table6[[#This Row],[Μαρ-25]]</f>
        <v>-2.6716538569757694E-3</v>
      </c>
      <c r="BB18" s="107">
        <f>Table684[[#This Row],[Απρ-25]]*Table6[[#This Row],[Απρ-25]]</f>
        <v>-7.718583157080419E-4</v>
      </c>
      <c r="BC18" s="107">
        <f>Table684[[#This Row],[Μαϊ-25]]*Table6[[#This Row],[Μαϊ-25]]</f>
        <v>2.4675918421508793E-3</v>
      </c>
      <c r="BD18" s="126">
        <f>Table684[[#This Row],[Ιουν-25]]*Table6[[#This Row],[Ιουν-25]]</f>
        <v>6.3003030027765307E-4</v>
      </c>
      <c r="BE18" s="107"/>
      <c r="BF18" s="153" cm="1">
        <f t="array" ref="BF18">PRODUCT(1+Table68[[#This Row],[Ιαν-21]:[Ιουν-25]])-1</f>
        <v>2.8264430440877897E-2</v>
      </c>
      <c r="BG18" s="112" t="s">
        <v>48</v>
      </c>
      <c r="BH18" s="112" t="str">
        <f>IF(Table68[[#This Row],[Cumulative Return ]]&lt;0,"Negative", IF(Table68[[#This Row],[Cumulative Return ]]&lt;0.025,"Positive","High Positive"))</f>
        <v>High Positive</v>
      </c>
      <c r="BI18" s="113">
        <f>SLOPE(C18:BD18,$C$54:$BD$54)</f>
        <v>4.3971619349631182E-2</v>
      </c>
      <c r="BJ18" s="113"/>
      <c r="BK18" s="157"/>
      <c r="BM18" s="106" t="s">
        <v>188</v>
      </c>
      <c r="BN18" s="107">
        <v>5.9784903646247223E-3</v>
      </c>
      <c r="CD18" s="114" t="s">
        <v>2025</v>
      </c>
      <c r="CE18" s="115">
        <v>0.91</v>
      </c>
      <c r="CF18" s="115"/>
    </row>
    <row r="19" spans="1:84">
      <c r="A19" s="110" t="s">
        <v>156</v>
      </c>
      <c r="B19" s="110" t="s">
        <v>157</v>
      </c>
      <c r="C19" s="126">
        <f>Table684[[#This Row],[Ιαν-21]]*Table6[[#This Row],[Ιαν-21]]</f>
        <v>1.3900844929192562E-3</v>
      </c>
      <c r="D19" s="107">
        <f>Table684[[#This Row],[Φεβ-21]]*Table6[[#This Row],[Φεβ-21]]</f>
        <v>-5.3861028259720759E-4</v>
      </c>
      <c r="E19" s="107">
        <f>Table684[[#This Row],[Μαρ-21]]*Table6[[#This Row],[Μαρ-21]]</f>
        <v>2.3169659840171219E-3</v>
      </c>
      <c r="F19" s="107">
        <f>Table684[[#This Row],[Απρ-21]]*Table6[[#This Row],[Απρ-21]]</f>
        <v>9.7342261130463825E-4</v>
      </c>
      <c r="G19" s="107">
        <f>Table684[[#This Row],[Μαϊ-21]]*Table6[[#This Row],[Μαϊ-21]]</f>
        <v>7.164818040080892E-4</v>
      </c>
      <c r="H19" s="126">
        <f>Table684[[#This Row],[Ιουν-21]]*Table6[[#This Row],[Ιουν-21]]</f>
        <v>5.0530652712906486E-4</v>
      </c>
      <c r="I19" s="107">
        <f>Table684[[#This Row],[Ιουλ-21]]*Table6[[#This Row],[Ιουλ-21]]</f>
        <v>1.5269835807799226E-3</v>
      </c>
      <c r="J19" s="107">
        <f>Table684[[#This Row],[Αυγ-21]]*Table6[[#This Row],[Αυγ-21]]</f>
        <v>3.7151748654601482E-4</v>
      </c>
      <c r="K19" s="107">
        <f>Table684[[#This Row],[Σεπ-21]]*Table6[[#This Row],[Σεπ-21]]</f>
        <v>-1.550871489981534E-3</v>
      </c>
      <c r="L19" s="107">
        <f>Table684[[#This Row],[Οκτ-21]]*Table6[[#This Row],[Οκτ-21]]</f>
        <v>-2.796748040977665E-4</v>
      </c>
      <c r="M19" s="107">
        <f>Table684[[#This Row],[Νοε-21]]*Table6[[#This Row],[Νοε-21]]</f>
        <v>1.3096560277338503E-3</v>
      </c>
      <c r="N19" s="107">
        <f>Table684[[#This Row],[Δεκ-21]]*Table6[[#This Row],[Δεκ-21]]</f>
        <v>2.1062192526860456E-3</v>
      </c>
      <c r="O19" s="126">
        <f>Table684[[#This Row],[Ιαν-22]]*Table6[[#This Row],[Ιαν-22]]</f>
        <v>-1.9465115247384208E-3</v>
      </c>
      <c r="P19" s="107">
        <f>Table684[[#This Row],[Φεβ-22]]*Table6[[#This Row],[Φεβ-22]]</f>
        <v>-7.8618142079806374E-5</v>
      </c>
      <c r="Q19" s="107">
        <f>Table684[[#This Row],[Μαρ-22]]*Table6[[#This Row],[Μαρ-22]]</f>
        <v>2.766997134859099E-5</v>
      </c>
      <c r="R19" s="107">
        <f>Table684[[#This Row],[Απρ-22]]*Table6[[#This Row],[Απρ-22]]</f>
        <v>-4.0579495789667155E-4</v>
      </c>
      <c r="S19" s="107">
        <f>Table684[[#This Row],[Μαϊ-22]]*Table6[[#This Row],[Μαϊ-22]]</f>
        <v>-1.816952369922739E-4</v>
      </c>
      <c r="T19" s="126">
        <f>Table684[[#This Row],[Ιουν-22]]*Table6[[#This Row],[Ιουν-22]]</f>
        <v>-2.1332979841830169E-3</v>
      </c>
      <c r="U19" s="107">
        <f>Table684[[#This Row],[Ιουλ-22]]*Table6[[#This Row],[Ιουλ-22]]</f>
        <v>3.1121631717562991E-3</v>
      </c>
      <c r="V19" s="107">
        <f>Table684[[#This Row],[Αυγ-22]]*Table6[[#This Row],[Αυγ-22]]</f>
        <v>-1.495936373318909E-3</v>
      </c>
      <c r="W19" s="107">
        <f>Table684[[#This Row],[Σεπ-22]]*Table6[[#This Row],[Σεπ-22]]</f>
        <v>-5.3473743980334378E-4</v>
      </c>
      <c r="X19" s="107">
        <f>Table684[[#This Row],[Οκτ-22]]*Table6[[#This Row],[Οκτ-22]]</f>
        <v>1.8600768854742438E-3</v>
      </c>
      <c r="Y19" s="107">
        <f>Table684[[#This Row],[Νοε-22]]*Table6[[#This Row],[Νοε-22]]</f>
        <v>1.3494590892755803E-3</v>
      </c>
      <c r="Z19" s="107">
        <f>Table684[[#This Row],[Δεκ-22]]*Table6[[#This Row],[Δεκ-22]]</f>
        <v>-1.0529431513162197E-3</v>
      </c>
      <c r="AA19" s="126">
        <f>Table684[[#This Row],[Ιαν-23]]*Table6[[#This Row],[Ιαν-23]]</f>
        <v>2.3751372948323359E-3</v>
      </c>
      <c r="AB19" s="107">
        <f>Table684[[#This Row],[Φεβ-23]]*Table6[[#This Row],[Φεβ-23]]</f>
        <v>-2.4450798811780035E-4</v>
      </c>
      <c r="AC19" s="107">
        <f>Table684[[#This Row],[Μαρ-23]]*Table6[[#This Row],[Μαρ-23]]</f>
        <v>6.4531839078998086E-4</v>
      </c>
      <c r="AD19" s="107">
        <f>Table684[[#This Row],[Απρ-23]]*Table6[[#This Row],[Απρ-23]]</f>
        <v>6.6984127959917998E-4</v>
      </c>
      <c r="AE19" s="107">
        <f>Table684[[#This Row],[Μαϊ-23]]*Table6[[#This Row],[Μαϊ-23]]</f>
        <v>9.7164910415420446E-4</v>
      </c>
      <c r="AF19" s="126">
        <f>Table684[[#This Row],[Ιουν-23]]*Table6[[#This Row],[Ιουν-23]]</f>
        <v>1.0460041728897371E-3</v>
      </c>
      <c r="AG19" s="107">
        <f>Table684[[#This Row],[Ιουλ-23]]*Table6[[#This Row],[Ιουλ-23]]</f>
        <v>2.2883482511930356E-4</v>
      </c>
      <c r="AH19" s="107">
        <f>Table684[[#This Row],[Αυγ-23]]*Table6[[#This Row],[Αυγ-23]]</f>
        <v>-6.6631149263643213E-4</v>
      </c>
      <c r="AI19" s="107">
        <f>Table684[[#This Row],[Σεπ-23]]*Table6[[#This Row],[Σεπ-23]]</f>
        <v>-7.2308332212262286E-4</v>
      </c>
      <c r="AJ19" s="107">
        <f>Table684[[#This Row],[Οκτ-23]]*Table6[[#This Row],[Οκτ-23]]</f>
        <v>-1.2776385379002929E-3</v>
      </c>
      <c r="AK19" s="107">
        <f>Table684[[#This Row],[Νοε-23]]*Table6[[#This Row],[Νοε-23]]</f>
        <v>2.8127292819210528E-3</v>
      </c>
      <c r="AL19" s="107">
        <f>Table684[[#This Row],[Δεκ-23]]*Table6[[#This Row],[Δεκ-23]]</f>
        <v>2.0218331080061299E-3</v>
      </c>
      <c r="AM19" s="126">
        <f>Table684[[#This Row],[Ιαν-24]]*Table6[[#This Row],[Ιαν-24]]</f>
        <v>-4.1093021077811105E-4</v>
      </c>
      <c r="AN19" s="107">
        <f>Table684[[#This Row],[Φεβ-24]]*Table6[[#This Row],[Φεβ-24]]</f>
        <v>1.5992155836159505E-3</v>
      </c>
      <c r="AO19" s="107">
        <f>Table684[[#This Row],[Μαρ-24]]*Table6[[#This Row],[Μαρ-24]]</f>
        <v>5.9912741308450223E-4</v>
      </c>
      <c r="AP19" s="107">
        <f>Table684[[#This Row],[Απρ-24]]*Table6[[#This Row],[Απρ-24]]</f>
        <v>1.2396685885581171E-3</v>
      </c>
      <c r="AQ19" s="107">
        <f>Table684[[#This Row],[Μαϊ-24]]*Table6[[#This Row],[Μαϊ-24]]</f>
        <v>2.0799408561449663E-3</v>
      </c>
      <c r="AR19" s="126">
        <f>Table684[[#This Row],[Ιουν-24]]*Table6[[#This Row],[Ιουν-24]]</f>
        <v>5.5642703181916467E-4</v>
      </c>
      <c r="AS19" s="107">
        <f>Table684[[#This Row],[Ιουλ-24]]*Table6[[#This Row],[Ιουλ-24]]</f>
        <v>-2.3319508625663425E-4</v>
      </c>
      <c r="AT19" s="107">
        <f>Table684[[#This Row],[Αυγ-24]]*Table6[[#This Row],[Αυγ-24]]</f>
        <v>1.8097959300355346E-4</v>
      </c>
      <c r="AU19" s="107">
        <f>Table684[[#This Row],[Σεπ-24]]*Table6[[#This Row],[Σεπ-24]]</f>
        <v>1.159710593902861E-4</v>
      </c>
      <c r="AV19" s="107">
        <f>Table684[[#This Row],[Οκτ-24]]*Table6[[#This Row],[Οκτ-24]]</f>
        <v>-4.0059997362711146E-4</v>
      </c>
      <c r="AW19" s="107">
        <f>Table684[[#This Row],[Νοε-24]]*Table6[[#This Row],[Νοε-24]]</f>
        <v>1.1590672186913176E-3</v>
      </c>
      <c r="AX19" s="107">
        <f>Table684[[#This Row],[Δεκ-24]]*Table6[[#This Row],[Δεκ-24]]</f>
        <v>-6.8918714095901948E-4</v>
      </c>
      <c r="AY19" s="126">
        <f>Table684[[#This Row],[Ιαν-25]]*Table6[[#This Row],[Ιαν-25]]</f>
        <v>2.3987313739200742E-4</v>
      </c>
      <c r="AZ19" s="107">
        <f>Table684[[#This Row],[Φεβ-25]]*Table6[[#This Row],[Φεβ-25]]</f>
        <v>-4.4563460166693804E-4</v>
      </c>
      <c r="BA19" s="107">
        <f>Table684[[#This Row],[Μαρ-25]]*Table6[[#This Row],[Μαρ-25]]</f>
        <v>-1.1014705067831066E-3</v>
      </c>
      <c r="BB19" s="107">
        <f>Table684[[#This Row],[Απρ-25]]*Table6[[#This Row],[Απρ-25]]</f>
        <v>-3.619489114523446E-4</v>
      </c>
      <c r="BC19" s="107">
        <f>Table684[[#This Row],[Μαϊ-25]]*Table6[[#This Row],[Μαϊ-25]]</f>
        <v>1.2503219157165625E-3</v>
      </c>
      <c r="BD19" s="126">
        <f>Table684[[#This Row],[Ιουν-25]]*Table6[[#This Row],[Ιουν-25]]</f>
        <v>3.0279068162597657E-4</v>
      </c>
      <c r="BE19" s="107"/>
      <c r="BF19" s="153" cm="1">
        <f t="array" ref="BF19">PRODUCT(1+Table68[[#This Row],[Ιαν-21]:[Ιουν-25]])-1</f>
        <v>2.1084065300776222E-2</v>
      </c>
      <c r="BG19" s="112" t="s">
        <v>48</v>
      </c>
      <c r="BH19" s="112" t="str">
        <f>IF(Table68[[#This Row],[Cumulative Return ]]&lt;0,"Negative", IF(Table68[[#This Row],[Cumulative Return ]]&lt;0.025,"Positive","High Positive"))</f>
        <v>Positive</v>
      </c>
      <c r="BI19" s="113">
        <f>SLOPE(C19:BD19,$C$54:$BD$54)</f>
        <v>2.3929613614593597E-2</v>
      </c>
      <c r="BJ19" s="113"/>
      <c r="BK19" s="157"/>
      <c r="BM19" s="106" t="s">
        <v>195</v>
      </c>
      <c r="BN19" s="107">
        <v>6.3633074480284879E-3</v>
      </c>
      <c r="CD19" s="114" t="s">
        <v>2026</v>
      </c>
      <c r="CE19" s="115">
        <v>0.93420000000000003</v>
      </c>
      <c r="CF19" s="115"/>
    </row>
    <row r="20" spans="1:84">
      <c r="A20" s="110" t="s">
        <v>160</v>
      </c>
      <c r="B20" s="110" t="s">
        <v>161</v>
      </c>
      <c r="C20" s="126">
        <f>Table684[[#This Row],[Ιαν-21]]*Table6[[#This Row],[Ιαν-21]]</f>
        <v>2.1191928282066516E-4</v>
      </c>
      <c r="D20" s="107">
        <f>Table684[[#This Row],[Φεβ-21]]*Table6[[#This Row],[Φεβ-21]]</f>
        <v>-1.0131494117570558E-3</v>
      </c>
      <c r="E20" s="107">
        <f>Table684[[#This Row],[Μαρ-21]]*Table6[[#This Row],[Μαρ-21]]</f>
        <v>6.9894222850675738E-4</v>
      </c>
      <c r="F20" s="107">
        <f>Table684[[#This Row],[Απρ-21]]*Table6[[#This Row],[Απρ-21]]</f>
        <v>6.0588012059092619E-5</v>
      </c>
      <c r="G20" s="107">
        <f>Table684[[#This Row],[Μαϊ-21]]*Table6[[#This Row],[Μαϊ-21]]</f>
        <v>8.7108018890568085E-5</v>
      </c>
      <c r="H20" s="126">
        <f>Table684[[#This Row],[Ιουν-21]]*Table6[[#This Row],[Ιουν-21]]</f>
        <v>-4.1811101745698799E-4</v>
      </c>
      <c r="I20" s="107">
        <f>Table684[[#This Row],[Ιουλ-21]]*Table6[[#This Row],[Ιουλ-21]]</f>
        <v>-4.9091681075004727E-4</v>
      </c>
      <c r="J20" s="107">
        <f>Table684[[#This Row],[Αυγ-21]]*Table6[[#This Row],[Αυγ-21]]</f>
        <v>3.7097602939101303E-4</v>
      </c>
      <c r="K20" s="107">
        <f>Table684[[#This Row],[Σεπ-21]]*Table6[[#This Row],[Σεπ-21]]</f>
        <v>3.4444690060410734E-4</v>
      </c>
      <c r="L20" s="107">
        <f>Table684[[#This Row],[Οκτ-21]]*Table6[[#This Row],[Οκτ-21]]</f>
        <v>-4.4016937179176413E-5</v>
      </c>
      <c r="M20" s="107">
        <f>Table684[[#This Row],[Νοε-21]]*Table6[[#This Row],[Νοε-21]]</f>
        <v>-1.2866027262389474E-3</v>
      </c>
      <c r="N20" s="107">
        <f>Table684[[#This Row],[Δεκ-21]]*Table6[[#This Row],[Δεκ-21]]</f>
        <v>1.132490352287577E-3</v>
      </c>
      <c r="O20" s="126">
        <f>Table684[[#This Row],[Ιαν-22]]*Table6[[#This Row],[Ιαν-22]]</f>
        <v>2.1459213864002489E-3</v>
      </c>
      <c r="P20" s="107">
        <f>Table684[[#This Row],[Φεβ-22]]*Table6[[#This Row],[Φεβ-22]]</f>
        <v>1.1033760448129707E-2</v>
      </c>
      <c r="Q20" s="107">
        <f>Table684[[#This Row],[Μαρ-22]]*Table6[[#This Row],[Μαρ-22]]</f>
        <v>1.2068298596562993E-2</v>
      </c>
      <c r="R20" s="107">
        <f>Table684[[#This Row],[Απρ-22]]*Table6[[#This Row],[Απρ-22]]</f>
        <v>6.0393406865242869E-3</v>
      </c>
      <c r="S20" s="107">
        <f>Table684[[#This Row],[Μαϊ-22]]*Table6[[#This Row],[Μαϊ-22]]</f>
        <v>-5.3731183336290971E-3</v>
      </c>
      <c r="T20" s="126">
        <f>Table684[[#This Row],[Ιουν-22]]*Table6[[#This Row],[Ιουν-22]]</f>
        <v>3.2627932823469977E-3</v>
      </c>
      <c r="U20" s="107">
        <f>Table684[[#This Row],[Ιουλ-22]]*Table6[[#This Row],[Ιουλ-22]]</f>
        <v>-4.6609023189097612E-3</v>
      </c>
      <c r="V20" s="107">
        <f>Table684[[#This Row],[Αυγ-22]]*Table6[[#This Row],[Αυγ-22]]</f>
        <v>-2.2968584879624141E-3</v>
      </c>
      <c r="W20" s="107">
        <f>Table684[[#This Row],[Σεπ-22]]*Table6[[#This Row],[Σεπ-22]]</f>
        <v>5.9682016489189831E-5</v>
      </c>
      <c r="X20" s="107">
        <f>Table684[[#This Row],[Οκτ-22]]*Table6[[#This Row],[Οκτ-22]]</f>
        <v>8.8287635283007451E-4</v>
      </c>
      <c r="Y20" s="107">
        <f>Table684[[#This Row],[Νοε-22]]*Table6[[#This Row],[Νοε-22]]</f>
        <v>3.2364454125085444E-3</v>
      </c>
      <c r="Z20" s="107">
        <f>Table684[[#This Row],[Δεκ-22]]*Table6[[#This Row],[Δεκ-22]]</f>
        <v>-9.2169076052260926E-4</v>
      </c>
      <c r="AA20" s="126">
        <f>Table684[[#This Row],[Ιαν-23]]*Table6[[#This Row],[Ιαν-23]]</f>
        <v>2.9916893349547957E-3</v>
      </c>
      <c r="AB20" s="107">
        <f>Table684[[#This Row],[Φεβ-23]]*Table6[[#This Row],[Φεβ-23]]</f>
        <v>2.3530553073966231E-3</v>
      </c>
      <c r="AC20" s="107">
        <f>Table684[[#This Row],[Μαρ-23]]*Table6[[#This Row],[Μαρ-23]]</f>
        <v>3.1336646319334279E-3</v>
      </c>
      <c r="AD20" s="107">
        <f>Table684[[#This Row],[Απρ-23]]*Table6[[#This Row],[Απρ-23]]</f>
        <v>-9.0350307864193243E-4</v>
      </c>
      <c r="AE20" s="107">
        <f>Table684[[#This Row],[Μαϊ-23]]*Table6[[#This Row],[Μαϊ-23]]</f>
        <v>-2.2305931263839206E-3</v>
      </c>
      <c r="AF20" s="126">
        <f>Table684[[#This Row],[Ιουν-23]]*Table6[[#This Row],[Ιουν-23]]</f>
        <v>1.1836932914307424E-3</v>
      </c>
      <c r="AG20" s="107">
        <f>Table684[[#This Row],[Ιουλ-23]]*Table6[[#This Row],[Ιουλ-23]]</f>
        <v>5.503192142222547E-4</v>
      </c>
      <c r="AH20" s="107">
        <f>Table684[[#This Row],[Αυγ-23]]*Table6[[#This Row],[Αυγ-23]]</f>
        <v>-4.5329144539680433E-4</v>
      </c>
      <c r="AI20" s="107">
        <f>Table684[[#This Row],[Σεπ-23]]*Table6[[#This Row],[Σεπ-23]]</f>
        <v>-5.6583599847140895E-4</v>
      </c>
      <c r="AJ20" s="107">
        <f>Table684[[#This Row],[Οκτ-23]]*Table6[[#This Row],[Οκτ-23]]</f>
        <v>2.0874455454603594E-3</v>
      </c>
      <c r="AK20" s="107">
        <f>Table684[[#This Row],[Νοε-23]]*Table6[[#This Row],[Νοε-23]]</f>
        <v>4.8825263374807913E-4</v>
      </c>
      <c r="AL20" s="107">
        <f>Table684[[#This Row],[Δεκ-23]]*Table6[[#This Row],[Δεκ-23]]</f>
        <v>8.3099618724757842E-4</v>
      </c>
      <c r="AM20" s="126">
        <f>Table684[[#This Row],[Ιαν-24]]*Table6[[#This Row],[Ιαν-24]]</f>
        <v>2.5010293738294718E-3</v>
      </c>
      <c r="AN20" s="107">
        <f>Table684[[#This Row],[Φεβ-24]]*Table6[[#This Row],[Φεβ-24]]</f>
        <v>6.5722265047028659E-3</v>
      </c>
      <c r="AO20" s="107">
        <f>Table684[[#This Row],[Μαρ-24]]*Table6[[#This Row],[Μαρ-24]]</f>
        <v>5.9868421981683871E-3</v>
      </c>
      <c r="AP20" s="107">
        <f>Table684[[#This Row],[Απρ-24]]*Table6[[#This Row],[Απρ-24]]</f>
        <v>-2.7403911479735495E-4</v>
      </c>
      <c r="AQ20" s="107">
        <f>Table684[[#This Row],[Μαϊ-24]]*Table6[[#This Row],[Μαϊ-24]]</f>
        <v>1.0084701353662369E-3</v>
      </c>
      <c r="AR20" s="126">
        <f>Table684[[#This Row],[Ιουν-24]]*Table6[[#This Row],[Ιουν-24]]</f>
        <v>-1.8939092662891876E-3</v>
      </c>
      <c r="AS20" s="107">
        <f>Table684[[#This Row],[Ιουλ-24]]*Table6[[#This Row],[Ιουλ-24]]</f>
        <v>1.0718388870412797E-3</v>
      </c>
      <c r="AT20" s="107">
        <f>Table684[[#This Row],[Αυγ-24]]*Table6[[#This Row],[Αυγ-24]]</f>
        <v>1.3278859496505088E-3</v>
      </c>
      <c r="AU20" s="107">
        <f>Table684[[#This Row],[Σεπ-24]]*Table6[[#This Row],[Σεπ-24]]</f>
        <v>-1.9425851780743295E-3</v>
      </c>
      <c r="AV20" s="107">
        <f>Table684[[#This Row],[Οκτ-24]]*Table6[[#This Row],[Οκτ-24]]</f>
        <v>-3.7904269030305268E-4</v>
      </c>
      <c r="AW20" s="107">
        <f>Table684[[#This Row],[Νοε-24]]*Table6[[#This Row],[Νοε-24]]</f>
        <v>5.2852212774644513E-3</v>
      </c>
      <c r="AX20" s="107">
        <f>Table684[[#This Row],[Δεκ-24]]*Table6[[#This Row],[Δεκ-24]]</f>
        <v>-2.6513371304775623E-4</v>
      </c>
      <c r="AY20" s="126">
        <f>Table684[[#This Row],[Ιαν-25]]*Table6[[#This Row],[Ιαν-25]]</f>
        <v>4.2994795037129543E-3</v>
      </c>
      <c r="AZ20" s="107">
        <f>Table684[[#This Row],[Φεβ-25]]*Table6[[#This Row],[Φεβ-25]]</f>
        <v>8.4564767658511213E-3</v>
      </c>
      <c r="BA20" s="107">
        <f>Table684[[#This Row],[Μαρ-25]]*Table6[[#This Row],[Μαρ-25]]</f>
        <v>7.6125013833967135E-3</v>
      </c>
      <c r="BB20" s="107">
        <f>Table684[[#This Row],[Απρ-25]]*Table6[[#This Row],[Απρ-25]]</f>
        <v>4.7389376212094514E-3</v>
      </c>
      <c r="BC20" s="107">
        <f>Table684[[#This Row],[Μαϊ-25]]*Table6[[#This Row],[Μαϊ-25]]</f>
        <v>1.1216180684089664E-2</v>
      </c>
      <c r="BD20" s="126">
        <f>Table684[[#This Row],[Ιουν-25]]*Table6[[#This Row],[Ιουν-25]]</f>
        <v>-9.7750155679441958E-4</v>
      </c>
      <c r="BE20" s="107"/>
      <c r="BF20" s="153" cm="1">
        <f t="array" ref="BF20">PRODUCT(1+Table68[[#This Row],[Ιαν-21]:[Ιουν-25]])-1</f>
        <v>9.2553059552897388E-2</v>
      </c>
      <c r="BG20" s="112" t="s">
        <v>48</v>
      </c>
      <c r="BH20" s="112" t="str">
        <f>IF(Table68[[#This Row],[Cumulative Return ]]&lt;0,"Negative", IF(Table68[[#This Row],[Cumulative Return ]]&lt;0.025,"Positive","High Positive"))</f>
        <v>High Positive</v>
      </c>
      <c r="BI20" s="113">
        <f>SLOPE(C20:BD20,$C$54:$BD$54)</f>
        <v>6.584361556734088E-3</v>
      </c>
      <c r="BJ20" s="113"/>
      <c r="BK20" s="157"/>
      <c r="BM20" s="106" t="s">
        <v>165</v>
      </c>
      <c r="BN20" s="107">
        <v>6.9977224283304107E-3</v>
      </c>
    </row>
    <row r="21" spans="1:84">
      <c r="A21" s="110" t="s">
        <v>165</v>
      </c>
      <c r="B21" s="110" t="s">
        <v>166</v>
      </c>
      <c r="C21" s="126">
        <f>Table684[[#This Row],[Ιαν-21]]*Table6[[#This Row],[Ιαν-21]]</f>
        <v>5.8130339781384537E-4</v>
      </c>
      <c r="D21" s="107">
        <f>Table684[[#This Row],[Φεβ-21]]*Table6[[#This Row],[Φεβ-21]]</f>
        <v>4.3514703727299148E-4</v>
      </c>
      <c r="E21" s="107">
        <f>Table684[[#This Row],[Μαρ-21]]*Table6[[#This Row],[Μαρ-21]]</f>
        <v>1.5908451983813164E-4</v>
      </c>
      <c r="F21" s="107">
        <f>Table684[[#This Row],[Απρ-21]]*Table6[[#This Row],[Απρ-21]]</f>
        <v>1.1468797050736763E-4</v>
      </c>
      <c r="G21" s="107">
        <f>Table684[[#This Row],[Μαϊ-21]]*Table6[[#This Row],[Μαϊ-21]]</f>
        <v>5.2119050305426831E-4</v>
      </c>
      <c r="H21" s="126">
        <f>Table684[[#This Row],[Ιουν-21]]*Table6[[#This Row],[Ιουν-21]]</f>
        <v>-8.041363669758195E-5</v>
      </c>
      <c r="I21" s="107">
        <f>Table684[[#This Row],[Ιουλ-21]]*Table6[[#This Row],[Ιουλ-21]]</f>
        <v>-1.95825009784385E-4</v>
      </c>
      <c r="J21" s="107">
        <f>Table684[[#This Row],[Αυγ-21]]*Table6[[#This Row],[Αυγ-21]]</f>
        <v>-3.3380252546244077E-4</v>
      </c>
      <c r="K21" s="107">
        <f>Table684[[#This Row],[Σεπ-21]]*Table6[[#This Row],[Σεπ-21]]</f>
        <v>1.2105465637055093E-4</v>
      </c>
      <c r="L21" s="107">
        <f>Table684[[#This Row],[Οκτ-21]]*Table6[[#This Row],[Οκτ-21]]</f>
        <v>3.270557395358775E-4</v>
      </c>
      <c r="M21" s="107">
        <f>Table684[[#This Row],[Νοε-21]]*Table6[[#This Row],[Νοε-21]]</f>
        <v>-4.5697396933976731E-4</v>
      </c>
      <c r="N21" s="107">
        <f>Table684[[#This Row],[Δεκ-21]]*Table6[[#This Row],[Δεκ-21]]</f>
        <v>6.2193591703745368E-4</v>
      </c>
      <c r="O21" s="126">
        <f>Table684[[#This Row],[Ιαν-22]]*Table6[[#This Row],[Ιαν-22]]</f>
        <v>-2.6933724098708166E-4</v>
      </c>
      <c r="P21" s="107">
        <f>Table684[[#This Row],[Φεβ-22]]*Table6[[#This Row],[Φεβ-22]]</f>
        <v>-1.2331202915147053E-3</v>
      </c>
      <c r="Q21" s="107">
        <f>Table684[[#This Row],[Μαρ-22]]*Table6[[#This Row],[Μαρ-22]]</f>
        <v>-1.3887603480528129E-4</v>
      </c>
      <c r="R21" s="107">
        <f>Table684[[#This Row],[Απρ-22]]*Table6[[#This Row],[Απρ-22]]</f>
        <v>-2.1266325480470938E-4</v>
      </c>
      <c r="S21" s="107">
        <f>Table684[[#This Row],[Μαϊ-22]]*Table6[[#This Row],[Μαϊ-22]]</f>
        <v>5.1926968176885593E-4</v>
      </c>
      <c r="T21" s="126">
        <f>Table684[[#This Row],[Ιουν-22]]*Table6[[#This Row],[Ιουν-22]]</f>
        <v>-9.0877097858231158E-4</v>
      </c>
      <c r="U21" s="107">
        <f>Table684[[#This Row],[Ιουλ-22]]*Table6[[#This Row],[Ιουλ-22]]</f>
        <v>1.7399629774268925E-3</v>
      </c>
      <c r="V21" s="107">
        <f>Table684[[#This Row],[Αυγ-22]]*Table6[[#This Row],[Αυγ-22]]</f>
        <v>-1.0196062709251117E-3</v>
      </c>
      <c r="W21" s="107">
        <f>Table684[[#This Row],[Σεπ-22]]*Table6[[#This Row],[Σεπ-22]]</f>
        <v>-8.1549578628252494E-4</v>
      </c>
      <c r="X21" s="107">
        <f>Table684[[#This Row],[Οκτ-22]]*Table6[[#This Row],[Οκτ-22]]</f>
        <v>1.3711525948916956E-3</v>
      </c>
      <c r="Y21" s="107">
        <f>Table684[[#This Row],[Νοε-22]]*Table6[[#This Row],[Νοε-22]]</f>
        <v>5.9767119172390751E-4</v>
      </c>
      <c r="Z21" s="107">
        <f>Table684[[#This Row],[Δεκ-22]]*Table6[[#This Row],[Δεκ-22]]</f>
        <v>-3.5967488656707451E-4</v>
      </c>
      <c r="AA21" s="126">
        <f>Table684[[#This Row],[Ιαν-23]]*Table6[[#This Row],[Ιαν-23]]</f>
        <v>7.4697486619079137E-4</v>
      </c>
      <c r="AB21" s="107">
        <f>Table684[[#This Row],[Φεβ-23]]*Table6[[#This Row],[Φεβ-23]]</f>
        <v>4.0859522480995146E-4</v>
      </c>
      <c r="AC21" s="107">
        <f>Table684[[#This Row],[Μαρ-23]]*Table6[[#This Row],[Μαρ-23]]</f>
        <v>1.8626697566676586E-5</v>
      </c>
      <c r="AD21" s="107">
        <f>Table684[[#This Row],[Απρ-23]]*Table6[[#This Row],[Απρ-23]]</f>
        <v>4.7831378835505448E-4</v>
      </c>
      <c r="AE21" s="107">
        <f>Table684[[#This Row],[Μαϊ-23]]*Table6[[#This Row],[Μαϊ-23]]</f>
        <v>-7.5676850938717806E-4</v>
      </c>
      <c r="AF21" s="126">
        <f>Table684[[#This Row],[Ιουν-23]]*Table6[[#This Row],[Ιουν-23]]</f>
        <v>9.6302596237827056E-4</v>
      </c>
      <c r="AG21" s="107">
        <f>Table684[[#This Row],[Ιουλ-23]]*Table6[[#This Row],[Ιουλ-23]]</f>
        <v>6.1124269507816919E-4</v>
      </c>
      <c r="AH21" s="107">
        <f>Table684[[#This Row],[Αυγ-23]]*Table6[[#This Row],[Αυγ-23]]</f>
        <v>-7.6285539508414823E-4</v>
      </c>
      <c r="AI21" s="107">
        <f>Table684[[#This Row],[Σεπ-23]]*Table6[[#This Row],[Σεπ-23]]</f>
        <v>4.96044818256695E-4</v>
      </c>
      <c r="AJ21" s="107">
        <f>Table684[[#This Row],[Οκτ-23]]*Table6[[#This Row],[Οκτ-23]]</f>
        <v>-4.6976884210402791E-4</v>
      </c>
      <c r="AK21" s="107">
        <f>Table684[[#This Row],[Νοε-23]]*Table6[[#This Row],[Νοε-23]]</f>
        <v>1.5123305715650272E-3</v>
      </c>
      <c r="AL21" s="107">
        <f>Table684[[#This Row],[Δεκ-23]]*Table6[[#This Row],[Δεκ-23]]</f>
        <v>1.1778454325340317E-3</v>
      </c>
      <c r="AM21" s="126">
        <f>Table684[[#This Row],[Ιαν-24]]*Table6[[#This Row],[Ιαν-24]]</f>
        <v>-5.435186769559454E-4</v>
      </c>
      <c r="AN21" s="107">
        <f>Table684[[#This Row],[Φεβ-24]]*Table6[[#This Row],[Φεβ-24]]</f>
        <v>1.290122552262637E-3</v>
      </c>
      <c r="AO21" s="107">
        <f>Table684[[#This Row],[Μαρ-24]]*Table6[[#This Row],[Μαρ-24]]</f>
        <v>4.6802443728722888E-4</v>
      </c>
      <c r="AP21" s="107">
        <f>Table684[[#This Row],[Απρ-24]]*Table6[[#This Row],[Απρ-24]]</f>
        <v>-3.9444604216604833E-4</v>
      </c>
      <c r="AQ21" s="107">
        <f>Table684[[#This Row],[Μαϊ-24]]*Table6[[#This Row],[Μαϊ-24]]</f>
        <v>2.1916191607742721E-4</v>
      </c>
      <c r="AR21" s="126">
        <f>Table684[[#This Row],[Ιουν-24]]*Table6[[#This Row],[Ιουν-24]]</f>
        <v>-3.1584151281218928E-4</v>
      </c>
      <c r="AS21" s="107">
        <f>Table684[[#This Row],[Ιουλ-24]]*Table6[[#This Row],[Ιουλ-24]]</f>
        <v>-1.071541660606185E-4</v>
      </c>
      <c r="AT21" s="107">
        <f>Table684[[#This Row],[Αυγ-24]]*Table6[[#This Row],[Αυγ-24]]</f>
        <v>1.5413046408475502E-4</v>
      </c>
      <c r="AU21" s="107">
        <f>Table684[[#This Row],[Σεπ-24]]*Table6[[#This Row],[Σεπ-24]]</f>
        <v>-9.5711747669021685E-5</v>
      </c>
      <c r="AV21" s="107">
        <f>Table684[[#This Row],[Οκτ-24]]*Table6[[#This Row],[Οκτ-24]]</f>
        <v>3.9312558120949954E-5</v>
      </c>
      <c r="AW21" s="107">
        <f>Table684[[#This Row],[Νοε-24]]*Table6[[#This Row],[Νοε-24]]</f>
        <v>-1.0188169762436947E-4</v>
      </c>
      <c r="AX21" s="107">
        <f>Table684[[#This Row],[Δεκ-24]]*Table6[[#This Row],[Δεκ-24]]</f>
        <v>-5.4377725270435998E-5</v>
      </c>
      <c r="AY21" s="126">
        <f>Table684[[#This Row],[Ιαν-25]]*Table6[[#This Row],[Ιαν-25]]</f>
        <v>1.3389354929645571E-3</v>
      </c>
      <c r="AZ21" s="107">
        <f>Table684[[#This Row],[Φεβ-25]]*Table6[[#This Row],[Φεβ-25]]</f>
        <v>1.2141218836099739E-3</v>
      </c>
      <c r="BA21" s="107">
        <f>Table684[[#This Row],[Μαρ-25]]*Table6[[#This Row],[Μαρ-25]]</f>
        <v>-1.0465167783006847E-3</v>
      </c>
      <c r="BB21" s="107">
        <f>Table684[[#This Row],[Απρ-25]]*Table6[[#This Row],[Απρ-25]]</f>
        <v>-5.3392472550935091E-4</v>
      </c>
      <c r="BC21" s="107">
        <f>Table684[[#This Row],[Μαϊ-25]]*Table6[[#This Row],[Μαϊ-25]]</f>
        <v>1.8878605304810679E-4</v>
      </c>
      <c r="BD21" s="126">
        <f>Table684[[#This Row],[Ιουν-25]]*Table6[[#This Row],[Ιουν-25]]</f>
        <v>-2.4124091009274584E-4</v>
      </c>
      <c r="BE21" s="107"/>
      <c r="BF21" s="153" cm="1">
        <f t="array" ref="BF21">PRODUCT(1+Table68[[#This Row],[Ιαν-21]:[Ιουν-25]])-1</f>
        <v>6.9977224283304107E-3</v>
      </c>
      <c r="BG21" s="112" t="s">
        <v>48</v>
      </c>
      <c r="BH21" s="112" t="str">
        <f>IF(Table68[[#This Row],[Cumulative Return ]]&lt;0,"Negative", IF(Table68[[#This Row],[Cumulative Return ]]&lt;0.025,"Positive","High Positive"))</f>
        <v>Positive</v>
      </c>
      <c r="BI21" s="113">
        <f>SLOPE(C21:BD21,$C$54:$BD$54)</f>
        <v>1.4645380434741716E-2</v>
      </c>
      <c r="BJ21" s="113"/>
      <c r="BK21" s="157"/>
      <c r="BM21" s="106" t="s">
        <v>207</v>
      </c>
      <c r="BN21" s="107">
        <v>7.2792493394155944E-3</v>
      </c>
    </row>
    <row r="22" spans="1:84">
      <c r="A22" s="110" t="s">
        <v>173</v>
      </c>
      <c r="B22" s="110" t="s">
        <v>174</v>
      </c>
      <c r="C22" s="126">
        <f>Table684[[#This Row],[Ιαν-21]]*Table6[[#This Row],[Ιαν-21]]</f>
        <v>2.7150288109658427E-4</v>
      </c>
      <c r="D22" s="107">
        <f>Table684[[#This Row],[Φεβ-21]]*Table6[[#This Row],[Φεβ-21]]</f>
        <v>-3.7677996230869989E-4</v>
      </c>
      <c r="E22" s="107">
        <f>Table684[[#This Row],[Μαρ-21]]*Table6[[#This Row],[Μαρ-21]]</f>
        <v>6.7372921916857855E-4</v>
      </c>
      <c r="F22" s="107">
        <f>Table684[[#This Row],[Απρ-21]]*Table6[[#This Row],[Απρ-21]]</f>
        <v>1.4337419987713479E-4</v>
      </c>
      <c r="G22" s="107">
        <f>Table684[[#This Row],[Μαϊ-21]]*Table6[[#This Row],[Μαϊ-21]]</f>
        <v>5.0724582266631422E-4</v>
      </c>
      <c r="H22" s="126">
        <f>Table684[[#This Row],[Ιουν-21]]*Table6[[#This Row],[Ιουν-21]]</f>
        <v>2.8928392620618422E-4</v>
      </c>
      <c r="I22" s="107">
        <f>Table684[[#This Row],[Ιουλ-21]]*Table6[[#This Row],[Ιουλ-21]]</f>
        <v>4.4497111354403415E-4</v>
      </c>
      <c r="J22" s="107">
        <f>Table684[[#This Row],[Αυγ-21]]*Table6[[#This Row],[Αυγ-21]]</f>
        <v>1.5545505889346956E-4</v>
      </c>
      <c r="K22" s="107">
        <f>Table684[[#This Row],[Σεπ-21]]*Table6[[#This Row],[Σεπ-21]]</f>
        <v>-3.1445744879432747E-4</v>
      </c>
      <c r="L22" s="107">
        <f>Table684[[#This Row],[Οκτ-21]]*Table6[[#This Row],[Οκτ-21]]</f>
        <v>1.1489322890252997E-4</v>
      </c>
      <c r="M22" s="107">
        <f>Table684[[#This Row],[Νοε-21]]*Table6[[#This Row],[Νοε-21]]</f>
        <v>1.8846210338418308E-4</v>
      </c>
      <c r="N22" s="107">
        <f>Table684[[#This Row],[Δεκ-21]]*Table6[[#This Row],[Δεκ-21]]</f>
        <v>4.7147343812960478E-4</v>
      </c>
      <c r="O22" s="126">
        <f>Table684[[#This Row],[Ιαν-22]]*Table6[[#This Row],[Ιαν-22]]</f>
        <v>-8.705873240200297E-4</v>
      </c>
      <c r="P22" s="107">
        <f>Table684[[#This Row],[Φεβ-22]]*Table6[[#This Row],[Φεβ-22]]</f>
        <v>-3.3409149420399024E-4</v>
      </c>
      <c r="Q22" s="107">
        <f>Table684[[#This Row],[Μαρ-22]]*Table6[[#This Row],[Μαρ-22]]</f>
        <v>1.0848125071699802E-4</v>
      </c>
      <c r="R22" s="107">
        <f>Table684[[#This Row],[Απρ-22]]*Table6[[#This Row],[Απρ-22]]</f>
        <v>-1.1118507158710467E-4</v>
      </c>
      <c r="S22" s="107">
        <f>Table684[[#This Row],[Μαϊ-22]]*Table6[[#This Row],[Μαϊ-22]]</f>
        <v>-1.731855229275575E-4</v>
      </c>
      <c r="T22" s="126">
        <f>Table684[[#This Row],[Ιουν-22]]*Table6[[#This Row],[Ιουν-22]]</f>
        <v>-8.5759348336301446E-4</v>
      </c>
      <c r="U22" s="107">
        <f>Table684[[#This Row],[Ιουλ-22]]*Table6[[#This Row],[Ιουλ-22]]</f>
        <v>8.6841293943018755E-4</v>
      </c>
      <c r="V22" s="107">
        <f>Table684[[#This Row],[Αυγ-22]]*Table6[[#This Row],[Αυγ-22]]</f>
        <v>-6.5971524310565709E-4</v>
      </c>
      <c r="W22" s="107">
        <f>Table684[[#This Row],[Σεπ-22]]*Table6[[#This Row],[Σεπ-22]]</f>
        <v>-5.1465141519234489E-4</v>
      </c>
      <c r="X22" s="107">
        <f>Table684[[#This Row],[Οκτ-22]]*Table6[[#This Row],[Οκτ-22]]</f>
        <v>1.0118343963551842E-3</v>
      </c>
      <c r="Y22" s="107">
        <f>Table684[[#This Row],[Νοε-22]]*Table6[[#This Row],[Νοε-22]]</f>
        <v>3.0506226961691522E-5</v>
      </c>
      <c r="Z22" s="107">
        <f>Table684[[#This Row],[Δεκ-22]]*Table6[[#This Row],[Δεκ-22]]</f>
        <v>-2.2167379676720108E-4</v>
      </c>
      <c r="AA22" s="126">
        <f>Table684[[#This Row],[Ιαν-23]]*Table6[[#This Row],[Ιαν-23]]</f>
        <v>6.3054321504043003E-4</v>
      </c>
      <c r="AB22" s="107">
        <f>Table684[[#This Row],[Φεβ-23]]*Table6[[#This Row],[Φεβ-23]]</f>
        <v>4.931469814770372E-4</v>
      </c>
      <c r="AC22" s="107">
        <f>Table684[[#This Row],[Μαρ-23]]*Table6[[#This Row],[Μαρ-23]]</f>
        <v>-2.9001616012956096E-4</v>
      </c>
      <c r="AD22" s="107">
        <f>Table684[[#This Row],[Απρ-23]]*Table6[[#This Row],[Απρ-23]]</f>
        <v>1.3308576401605007E-4</v>
      </c>
      <c r="AE22" s="107">
        <f>Table684[[#This Row],[Μαϊ-23]]*Table6[[#This Row],[Μαϊ-23]]</f>
        <v>2.2023579610250087E-4</v>
      </c>
      <c r="AF22" s="126">
        <f>Table684[[#This Row],[Ιουν-23]]*Table6[[#This Row],[Ιουν-23]]</f>
        <v>3.3236876627944575E-4</v>
      </c>
      <c r="AG22" s="107">
        <f>Table684[[#This Row],[Ιουλ-23]]*Table6[[#This Row],[Ιουλ-23]]</f>
        <v>2.4330244035477534E-5</v>
      </c>
      <c r="AH22" s="107">
        <f>Table684[[#This Row],[Αυγ-23]]*Table6[[#This Row],[Αυγ-23]]</f>
        <v>-1.3668412413442716E-6</v>
      </c>
      <c r="AI22" s="107">
        <f>Table684[[#This Row],[Σεπ-23]]*Table6[[#This Row],[Σεπ-23]]</f>
        <v>-2.9044565838867947E-4</v>
      </c>
      <c r="AJ22" s="107">
        <f>Table684[[#This Row],[Οκτ-23]]*Table6[[#This Row],[Οκτ-23]]</f>
        <v>-4.518611090323853E-4</v>
      </c>
      <c r="AK22" s="107">
        <f>Table684[[#This Row],[Νοε-23]]*Table6[[#This Row],[Νοε-23]]</f>
        <v>5.6054785988719704E-4</v>
      </c>
      <c r="AL22" s="107">
        <f>Table684[[#This Row],[Δεκ-23]]*Table6[[#This Row],[Δεκ-23]]</f>
        <v>4.2137217447357024E-4</v>
      </c>
      <c r="AM22" s="126">
        <f>Table684[[#This Row],[Ιαν-24]]*Table6[[#This Row],[Ιαν-24]]</f>
        <v>-2.8039340365138427E-4</v>
      </c>
      <c r="AN22" s="107">
        <f>Table684[[#This Row],[Φεβ-24]]*Table6[[#This Row],[Φεβ-24]]</f>
        <v>2.3276153557686316E-4</v>
      </c>
      <c r="AO22" s="107">
        <f>Table684[[#This Row],[Μαρ-24]]*Table6[[#This Row],[Μαρ-24]]</f>
        <v>3.2608397111899329E-4</v>
      </c>
      <c r="AP22" s="107">
        <f>Table684[[#This Row],[Απρ-24]]*Table6[[#This Row],[Απρ-24]]</f>
        <v>-8.8716631876987131E-5</v>
      </c>
      <c r="AQ22" s="107">
        <f>Table684[[#This Row],[Μαϊ-24]]*Table6[[#This Row],[Μαϊ-24]]</f>
        <v>2.8338710222025235E-4</v>
      </c>
      <c r="AR22" s="126">
        <f>Table684[[#This Row],[Ιουν-24]]*Table6[[#This Row],[Ιουν-24]]</f>
        <v>-4.4589390044073786E-4</v>
      </c>
      <c r="AS22" s="107">
        <f>Table684[[#This Row],[Ιουλ-24]]*Table6[[#This Row],[Ιουλ-24]]</f>
        <v>5.0580406533773901E-4</v>
      </c>
      <c r="AT22" s="107">
        <f>Table684[[#This Row],[Αυγ-24]]*Table6[[#This Row],[Αυγ-24]]</f>
        <v>8.9547909428464151E-5</v>
      </c>
      <c r="AU22" s="107">
        <f>Table684[[#This Row],[Σεπ-24]]*Table6[[#This Row],[Σεπ-24]]</f>
        <v>1.391936388763904E-4</v>
      </c>
      <c r="AV22" s="107">
        <f>Table684[[#This Row],[Οκτ-24]]*Table6[[#This Row],[Οκτ-24]]</f>
        <v>1.9812626574027681E-5</v>
      </c>
      <c r="AW22" s="107">
        <f>Table684[[#This Row],[Νοε-24]]*Table6[[#This Row],[Νοε-24]]</f>
        <v>-5.9006742612756238E-4</v>
      </c>
      <c r="AX22" s="107">
        <f>Table684[[#This Row],[Δεκ-24]]*Table6[[#This Row],[Δεκ-24]]</f>
        <v>-5.6097799414427194E-5</v>
      </c>
      <c r="AY22" s="126">
        <f>Table684[[#This Row],[Ιαν-25]]*Table6[[#This Row],[Ιαν-25]]</f>
        <v>3.5220147044015342E-4</v>
      </c>
      <c r="AZ22" s="107">
        <f>Table684[[#This Row],[Φεβ-25]]*Table6[[#This Row],[Φεβ-25]]</f>
        <v>4.5099396450887859E-4</v>
      </c>
      <c r="BA22" s="107">
        <f>Table684[[#This Row],[Μαρ-25]]*Table6[[#This Row],[Μαρ-25]]</f>
        <v>-5.3451172517774152E-4</v>
      </c>
      <c r="BB22" s="107">
        <f>Table684[[#This Row],[Απρ-25]]*Table6[[#This Row],[Απρ-25]]</f>
        <v>-6.2091994864298824E-5</v>
      </c>
      <c r="BC22" s="107">
        <f>Table684[[#This Row],[Μαϊ-25]]*Table6[[#This Row],[Μαϊ-25]]</f>
        <v>8.3923409623842718E-4</v>
      </c>
      <c r="BD22" s="126">
        <f>Table684[[#This Row],[Ιουν-25]]*Table6[[#This Row],[Ιουν-25]]</f>
        <v>4.1853844642596871E-4</v>
      </c>
      <c r="BE22" s="107"/>
      <c r="BF22" s="153" cm="1">
        <f t="array" ref="BF22">PRODUCT(1+Table68[[#This Row],[Ιαν-21]:[Ιουν-25]])-1</f>
        <v>4.2312840288281084E-3</v>
      </c>
      <c r="BG22" s="112" t="s">
        <v>48</v>
      </c>
      <c r="BH22" s="112" t="str">
        <f>IF(Table68[[#This Row],[Cumulative Return ]]&lt;0,"Negative", IF(Table68[[#This Row],[Cumulative Return ]]&lt;0.025,"Positive","High Positive"))</f>
        <v>Positive</v>
      </c>
      <c r="BI22" s="113">
        <f>SLOPE(C22:BD22,$C$54:$BD$54)</f>
        <v>8.8992034176345568E-3</v>
      </c>
      <c r="BJ22" s="113"/>
      <c r="BK22" s="157"/>
      <c r="BM22" s="106" t="s">
        <v>150</v>
      </c>
      <c r="BN22" s="107">
        <v>7.350639815514981E-3</v>
      </c>
    </row>
    <row r="23" spans="1:84">
      <c r="A23" s="110" t="s">
        <v>179</v>
      </c>
      <c r="B23" s="110" t="s">
        <v>180</v>
      </c>
      <c r="C23" s="126">
        <f>Table684[[#This Row],[Ιαν-21]]*Table6[[#This Row],[Ιαν-21]]</f>
        <v>6.821249956283005E-4</v>
      </c>
      <c r="D23" s="107">
        <f>Table684[[#This Row],[Φεβ-21]]*Table6[[#This Row],[Φεβ-21]]</f>
        <v>-1.405211745892561E-3</v>
      </c>
      <c r="E23" s="107">
        <f>Table684[[#This Row],[Μαρ-21]]*Table6[[#This Row],[Μαρ-21]]</f>
        <v>2.6275502261717243E-3</v>
      </c>
      <c r="F23" s="107">
        <f>Table684[[#This Row],[Απρ-21]]*Table6[[#This Row],[Απρ-21]]</f>
        <v>8.4983426418029737E-4</v>
      </c>
      <c r="G23" s="107">
        <f>Table684[[#This Row],[Μαϊ-21]]*Table6[[#This Row],[Μαϊ-21]]</f>
        <v>-2.886859792014801E-4</v>
      </c>
      <c r="H23" s="126">
        <f>Table684[[#This Row],[Ιουν-21]]*Table6[[#This Row],[Ιουν-21]]</f>
        <v>1.3197635784982335E-3</v>
      </c>
      <c r="I23" s="107">
        <f>Table684[[#This Row],[Ιουλ-21]]*Table6[[#This Row],[Ιουλ-21]]</f>
        <v>3.312380998781637E-3</v>
      </c>
      <c r="J23" s="107">
        <f>Table684[[#This Row],[Αυγ-21]]*Table6[[#This Row],[Αυγ-21]]</f>
        <v>1.0848055098441186E-3</v>
      </c>
      <c r="K23" s="107">
        <f>Table684[[#This Row],[Σεπ-21]]*Table6[[#This Row],[Σεπ-21]]</f>
        <v>-5.7756509989379597E-4</v>
      </c>
      <c r="L23" s="107">
        <f>Table684[[#This Row],[Οκτ-21]]*Table6[[#This Row],[Οκτ-21]]</f>
        <v>2.5030434751151065E-3</v>
      </c>
      <c r="M23" s="107">
        <f>Table684[[#This Row],[Νοε-21]]*Table6[[#This Row],[Νοε-21]]</f>
        <v>7.4979193079079273E-4</v>
      </c>
      <c r="N23" s="107">
        <f>Table684[[#This Row],[Δεκ-21]]*Table6[[#This Row],[Δεκ-21]]</f>
        <v>1.5462914596009617E-3</v>
      </c>
      <c r="O23" s="126">
        <f>Table684[[#This Row],[Ιαν-22]]*Table6[[#This Row],[Ιαν-22]]</f>
        <v>-1.417633686566642E-3</v>
      </c>
      <c r="P23" s="107">
        <f>Table684[[#This Row],[Φεβ-22]]*Table6[[#This Row],[Φεβ-22]]</f>
        <v>7.6904471735306262E-5</v>
      </c>
      <c r="Q23" s="107">
        <f>Table684[[#This Row],[Μαρ-22]]*Table6[[#This Row],[Μαρ-22]]</f>
        <v>1.0780097539010223E-3</v>
      </c>
      <c r="R23" s="107">
        <f>Table684[[#This Row],[Απρ-22]]*Table6[[#This Row],[Απρ-22]]</f>
        <v>7.5582647311296452E-4</v>
      </c>
      <c r="S23" s="107">
        <f>Table684[[#This Row],[Μαϊ-22]]*Table6[[#This Row],[Μαϊ-22]]</f>
        <v>-1.9050069515064042E-3</v>
      </c>
      <c r="T23" s="126">
        <f>Table684[[#This Row],[Ιουν-22]]*Table6[[#This Row],[Ιουν-22]]</f>
        <v>-1.0053929283391039E-3</v>
      </c>
      <c r="U23" s="107">
        <f>Table684[[#This Row],[Ιουλ-22]]*Table6[[#This Row],[Ιουλ-22]]</f>
        <v>3.7243786665509047E-3</v>
      </c>
      <c r="V23" s="107">
        <f>Table684[[#This Row],[Αυγ-22]]*Table6[[#This Row],[Αυγ-22]]</f>
        <v>-2.9768134675911616E-3</v>
      </c>
      <c r="W23" s="107">
        <f>Table684[[#This Row],[Σεπ-22]]*Table6[[#This Row],[Σεπ-22]]</f>
        <v>-1.3460223746290447E-3</v>
      </c>
      <c r="X23" s="107">
        <f>Table684[[#This Row],[Οκτ-22]]*Table6[[#This Row],[Οκτ-22]]</f>
        <v>2.6902510848911638E-3</v>
      </c>
      <c r="Y23" s="107">
        <f>Table684[[#This Row],[Νοε-22]]*Table6[[#This Row],[Νοε-22]]</f>
        <v>-4.5538412623699842E-4</v>
      </c>
      <c r="Z23" s="107">
        <f>Table684[[#This Row],[Δεκ-22]]*Table6[[#This Row],[Δεκ-22]]</f>
        <v>-1.0151545636644772E-3</v>
      </c>
      <c r="AA23" s="126">
        <f>Table684[[#This Row],[Ιαν-23]]*Table6[[#This Row],[Ιαν-23]]</f>
        <v>1.6133739027034584E-3</v>
      </c>
      <c r="AB23" s="107">
        <f>Table684[[#This Row],[Φεβ-23]]*Table6[[#This Row],[Φεβ-23]]</f>
        <v>1.3735194490963505E-3</v>
      </c>
      <c r="AC23" s="107">
        <f>Table684[[#This Row],[Μαρ-23]]*Table6[[#This Row],[Μαρ-23]]</f>
        <v>1.2282024176034304E-3</v>
      </c>
      <c r="AD23" s="107">
        <f>Table684[[#This Row],[Απρ-23]]*Table6[[#This Row],[Απρ-23]]</f>
        <v>8.9424772192876778E-4</v>
      </c>
      <c r="AE23" s="107">
        <f>Table684[[#This Row],[Μαϊ-23]]*Table6[[#This Row],[Μαϊ-23]]</f>
        <v>-9.5387370539119635E-4</v>
      </c>
      <c r="AF23" s="126">
        <f>Table684[[#This Row],[Ιουν-23]]*Table6[[#This Row],[Ιουν-23]]</f>
        <v>1.3197635784982335E-3</v>
      </c>
      <c r="AG23" s="107">
        <f>Table684[[#This Row],[Ιουλ-23]]*Table6[[#This Row],[Ιουλ-23]]</f>
        <v>7.8073302743326755E-5</v>
      </c>
      <c r="AH23" s="107">
        <f>Table684[[#This Row],[Αυγ-23]]*Table6[[#This Row],[Αυγ-23]]</f>
        <v>-2.8020300622931695E-4</v>
      </c>
      <c r="AI23" s="107">
        <f>Table684[[#This Row],[Σεπ-23]]*Table6[[#This Row],[Σεπ-23]]</f>
        <v>1.8821245794080487E-3</v>
      </c>
      <c r="AJ23" s="107">
        <f>Table684[[#This Row],[Οκτ-23]]*Table6[[#This Row],[Οκτ-23]]</f>
        <v>9.2873733964904327E-4</v>
      </c>
      <c r="AK23" s="107">
        <f>Table684[[#This Row],[Νοε-23]]*Table6[[#This Row],[Νοε-23]]</f>
        <v>2.3843728822931709E-3</v>
      </c>
      <c r="AL23" s="107">
        <f>Table684[[#This Row],[Δεκ-23]]*Table6[[#This Row],[Δεκ-23]]</f>
        <v>6.1892714719813857E-4</v>
      </c>
      <c r="AM23" s="126">
        <f>Table684[[#This Row],[Ιαν-24]]*Table6[[#This Row],[Ιαν-24]]</f>
        <v>1.951470639667051E-3</v>
      </c>
      <c r="AN23" s="107">
        <f>Table684[[#This Row],[Φεβ-24]]*Table6[[#This Row],[Φεβ-24]]</f>
        <v>1.7868214502277102E-3</v>
      </c>
      <c r="AO23" s="107">
        <f>Table684[[#This Row],[Μαρ-24]]*Table6[[#This Row],[Μαρ-24]]</f>
        <v>-3.1128066970380022E-4</v>
      </c>
      <c r="AP23" s="107">
        <f>Table684[[#This Row],[Απρ-24]]*Table6[[#This Row],[Απρ-24]]</f>
        <v>-1.0105097910251483E-3</v>
      </c>
      <c r="AQ23" s="107">
        <f>Table684[[#This Row],[Μαϊ-24]]*Table6[[#This Row],[Μαϊ-24]]</f>
        <v>1.4315247155019498E-3</v>
      </c>
      <c r="AR23" s="126">
        <f>Table684[[#This Row],[Ιουν-24]]*Table6[[#This Row],[Ιουν-24]]</f>
        <v>2.0997586821949426E-3</v>
      </c>
      <c r="AS23" s="107">
        <f>Table684[[#This Row],[Ιουλ-24]]*Table6[[#This Row],[Ιουλ-24]]</f>
        <v>5.1730096622722729E-4</v>
      </c>
      <c r="AT23" s="107">
        <f>Table684[[#This Row],[Αυγ-24]]*Table6[[#This Row],[Αυγ-24]]</f>
        <v>-1.01627320075052E-3</v>
      </c>
      <c r="AU23" s="107">
        <f>Table684[[#This Row],[Σεπ-24]]*Table6[[#This Row],[Σεπ-24]]</f>
        <v>1.1972233982240087E-4</v>
      </c>
      <c r="AV23" s="107">
        <f>Table684[[#This Row],[Οκτ-24]]*Table6[[#This Row],[Οκτ-24]]</f>
        <v>-2.7048224856142382E-5</v>
      </c>
      <c r="AW23" s="107">
        <f>Table684[[#This Row],[Νοε-24]]*Table6[[#This Row],[Νοε-24]]</f>
        <v>1.793518771293533E-3</v>
      </c>
      <c r="AX23" s="107">
        <f>Table684[[#This Row],[Δεκ-24]]*Table6[[#This Row],[Δεκ-24]]</f>
        <v>-5.0758136002224629E-4</v>
      </c>
      <c r="AY23" s="126">
        <f>Table684[[#This Row],[Ιαν-25]]*Table6[[#This Row],[Ιαν-25]]</f>
        <v>2.8411988948343994E-3</v>
      </c>
      <c r="AZ23" s="107">
        <f>Table684[[#This Row],[Φεβ-25]]*Table6[[#This Row],[Φεβ-25]]</f>
        <v>-1.1746020911874392E-3</v>
      </c>
      <c r="BA23" s="107">
        <f>Table684[[#This Row],[Μαρ-25]]*Table6[[#This Row],[Μαρ-25]]</f>
        <v>0</v>
      </c>
      <c r="BB23" s="107">
        <f>Table684[[#This Row],[Απρ-25]]*Table6[[#This Row],[Απρ-25]]</f>
        <v>9.5837926839735564E-4</v>
      </c>
      <c r="BC23" s="107">
        <f>Table684[[#This Row],[Μαϊ-25]]*Table6[[#This Row],[Μαϊ-25]]</f>
        <v>5.8015344574213827E-5</v>
      </c>
      <c r="BD23" s="126">
        <f>Table684[[#This Row],[Ιουν-25]]*Table6[[#This Row],[Ιουν-25]]</f>
        <v>-9.1938586367292679E-4</v>
      </c>
      <c r="BE23" s="107"/>
      <c r="BF23" s="153" cm="1">
        <f t="array" ref="BF23">PRODUCT(1+Table68[[#This Row],[Ιαν-21]:[Ιουν-25]])-1</f>
        <v>3.0685018585256962E-2</v>
      </c>
      <c r="BG23" s="112" t="s">
        <v>48</v>
      </c>
      <c r="BH23" s="112" t="str">
        <f>IF(Table68[[#This Row],[Cumulative Return ]]&lt;0,"Negative", IF(Table68[[#This Row],[Cumulative Return ]]&lt;0.025,"Positive","High Positive"))</f>
        <v>High Positive</v>
      </c>
      <c r="BI23" s="113">
        <f>SLOPE(C23:BD23,$C$54:$BD$54)</f>
        <v>2.3115001851477936E-2</v>
      </c>
      <c r="BJ23" s="113"/>
      <c r="BK23" s="157"/>
      <c r="BM23" s="106" t="s">
        <v>121</v>
      </c>
      <c r="BN23" s="107">
        <v>7.6421098673431498E-3</v>
      </c>
    </row>
    <row r="24" spans="1:84">
      <c r="A24" s="110" t="s">
        <v>185</v>
      </c>
      <c r="B24" s="110" t="s">
        <v>186</v>
      </c>
      <c r="C24" s="126">
        <f>Table684[[#This Row],[Ιαν-21]]*Table6[[#This Row],[Ιαν-21]]</f>
        <v>-1.4386905886056023E-3</v>
      </c>
      <c r="D24" s="107">
        <f>Table684[[#This Row],[Φεβ-21]]*Table6[[#This Row],[Φεβ-21]]</f>
        <v>2.8760967030815729E-3</v>
      </c>
      <c r="E24" s="107">
        <f>Table684[[#This Row],[Μαρ-21]]*Table6[[#This Row],[Μαρ-21]]</f>
        <v>3.8467102869752239E-4</v>
      </c>
      <c r="F24" s="107">
        <f>Table684[[#This Row],[Απρ-21]]*Table6[[#This Row],[Απρ-21]]</f>
        <v>1.6734759517289903E-3</v>
      </c>
      <c r="G24" s="107">
        <f>Table684[[#This Row],[Μαϊ-21]]*Table6[[#This Row],[Μαϊ-21]]</f>
        <v>4.1750840843652741E-4</v>
      </c>
      <c r="H24" s="126">
        <f>Table684[[#This Row],[Ιουν-21]]*Table6[[#This Row],[Ιουν-21]]</f>
        <v>-7.707271010387155E-4</v>
      </c>
      <c r="I24" s="107">
        <f>Table684[[#This Row],[Ιουλ-21]]*Table6[[#This Row],[Ιουλ-21]]</f>
        <v>-2.0299009243599428E-4</v>
      </c>
      <c r="J24" s="107">
        <f>Table684[[#This Row],[Αυγ-21]]*Table6[[#This Row],[Αυγ-21]]</f>
        <v>4.2924152766969377E-4</v>
      </c>
      <c r="K24" s="107">
        <f>Table684[[#This Row],[Σεπ-21]]*Table6[[#This Row],[Σεπ-21]]</f>
        <v>-1.8358269951341532E-4</v>
      </c>
      <c r="L24" s="107">
        <f>Table684[[#This Row],[Οκτ-21]]*Table6[[#This Row],[Οκτ-21]]</f>
        <v>5.6605974532932207E-4</v>
      </c>
      <c r="M24" s="107">
        <f>Table684[[#This Row],[Νοε-21]]*Table6[[#This Row],[Νοε-21]]</f>
        <v>-1.9849807428690617E-3</v>
      </c>
      <c r="N24" s="107">
        <f>Table684[[#This Row],[Δεκ-21]]*Table6[[#This Row],[Δεκ-21]]</f>
        <v>2.3677346506113567E-3</v>
      </c>
      <c r="O24" s="126">
        <f>Table684[[#This Row],[Ιαν-22]]*Table6[[#This Row],[Ιαν-22]]</f>
        <v>9.8848809149092404E-4</v>
      </c>
      <c r="P24" s="107">
        <f>Table684[[#This Row],[Φεβ-22]]*Table6[[#This Row],[Φεβ-22]]</f>
        <v>-5.6742206214960116E-4</v>
      </c>
      <c r="Q24" s="107">
        <f>Table684[[#This Row],[Μαρ-22]]*Table6[[#This Row],[Μαρ-22]]</f>
        <v>-4.2177988824546682E-4</v>
      </c>
      <c r="R24" s="107">
        <f>Table684[[#This Row],[Απρ-22]]*Table6[[#This Row],[Απρ-22]]</f>
        <v>5.7523578788709585E-4</v>
      </c>
      <c r="S24" s="107">
        <f>Table684[[#This Row],[Μαϊ-22]]*Table6[[#This Row],[Μαϊ-22]]</f>
        <v>-8.6992058222469656E-4</v>
      </c>
      <c r="T24" s="126">
        <f>Table684[[#This Row],[Ιουν-22]]*Table6[[#This Row],[Ιουν-22]]</f>
        <v>-1.2869919210995694E-3</v>
      </c>
      <c r="U24" s="107">
        <f>Table684[[#This Row],[Ιουλ-22]]*Table6[[#This Row],[Ιουλ-22]]</f>
        <v>2.4945865775266008E-3</v>
      </c>
      <c r="V24" s="107">
        <f>Table684[[#This Row],[Αυγ-22]]*Table6[[#This Row],[Αυγ-22]]</f>
        <v>-3.1537733689138636E-4</v>
      </c>
      <c r="W24" s="107">
        <f>Table684[[#This Row],[Σεπ-22]]*Table6[[#This Row],[Σεπ-22]]</f>
        <v>-2.669993348080961E-3</v>
      </c>
      <c r="X24" s="107">
        <f>Table684[[#This Row],[Οκτ-22]]*Table6[[#This Row],[Οκτ-22]]</f>
        <v>3.1078043893032785E-3</v>
      </c>
      <c r="Y24" s="107">
        <f>Table684[[#This Row],[Νοε-22]]*Table6[[#This Row],[Νοε-22]]</f>
        <v>1.2894553276447678E-3</v>
      </c>
      <c r="Z24" s="107">
        <f>Table684[[#This Row],[Δεκ-22]]*Table6[[#This Row],[Δεκ-22]]</f>
        <v>-9.0320729804793881E-4</v>
      </c>
      <c r="AA24" s="126">
        <f>Table684[[#This Row],[Ιαν-23]]*Table6[[#This Row],[Ιαν-23]]</f>
        <v>2.7134487461966204E-3</v>
      </c>
      <c r="AB24" s="107">
        <f>Table684[[#This Row],[Φεβ-23]]*Table6[[#This Row],[Φεβ-23]]</f>
        <v>1.0094337969548015E-3</v>
      </c>
      <c r="AC24" s="107">
        <f>Table684[[#This Row],[Μαρ-23]]*Table6[[#This Row],[Μαρ-23]]</f>
        <v>-5.0198253303064414E-4</v>
      </c>
      <c r="AD24" s="107">
        <f>Table684[[#This Row],[Απρ-23]]*Table6[[#This Row],[Απρ-23]]</f>
        <v>2.2587316284296472E-3</v>
      </c>
      <c r="AE24" s="107">
        <f>Table684[[#This Row],[Μαϊ-23]]*Table6[[#This Row],[Μαϊ-23]]</f>
        <v>-1.3836011696952996E-3</v>
      </c>
      <c r="AF24" s="126">
        <f>Table684[[#This Row],[Ιουν-23]]*Table6[[#This Row],[Ιουν-23]]</f>
        <v>1.4680516210261247E-5</v>
      </c>
      <c r="AG24" s="107">
        <f>Table684[[#This Row],[Ιουλ-23]]*Table6[[#This Row],[Ιουλ-23]]</f>
        <v>9.0181780013546967E-5</v>
      </c>
      <c r="AH24" s="107">
        <f>Table684[[#This Row],[Αυγ-23]]*Table6[[#This Row],[Αυγ-23]]</f>
        <v>-8.3552164581393237E-4</v>
      </c>
      <c r="AI24" s="107">
        <f>Table684[[#This Row],[Σεπ-23]]*Table6[[#This Row],[Σεπ-23]]</f>
        <v>4.58774662991103E-4</v>
      </c>
      <c r="AJ24" s="107">
        <f>Table684[[#This Row],[Οκτ-23]]*Table6[[#This Row],[Οκτ-23]]</f>
        <v>-1.2111239290642091E-4</v>
      </c>
      <c r="AK24" s="107">
        <f>Table684[[#This Row],[Νοε-23]]*Table6[[#This Row],[Νοε-23]]</f>
        <v>2.1020191227155375E-3</v>
      </c>
      <c r="AL24" s="107">
        <f>Table684[[#This Row],[Δεκ-23]]*Table6[[#This Row],[Δεκ-23]]</f>
        <v>3.0666084274728059E-4</v>
      </c>
      <c r="AM24" s="126">
        <f>Table684[[#This Row],[Ιαν-24]]*Table6[[#This Row],[Ιαν-24]]</f>
        <v>7.2668555240793182E-4</v>
      </c>
      <c r="AN24" s="107">
        <f>Table684[[#This Row],[Φεβ-24]]*Table6[[#This Row],[Φεβ-24]]</f>
        <v>2.7988569461517919E-4</v>
      </c>
      <c r="AO24" s="107">
        <f>Table684[[#This Row],[Μαρ-24]]*Table6[[#This Row],[Μαρ-24]]</f>
        <v>7.2633322000703019E-5</v>
      </c>
      <c r="AP24" s="107">
        <f>Table684[[#This Row],[Απρ-24]]*Table6[[#This Row],[Απρ-24]]</f>
        <v>-9.8043095416195845E-4</v>
      </c>
      <c r="AQ24" s="107">
        <f>Table684[[#This Row],[Μαϊ-24]]*Table6[[#This Row],[Μαϊ-24]]</f>
        <v>8.4135654676790431E-4</v>
      </c>
      <c r="AR24" s="126">
        <f>Table684[[#This Row],[Ιουν-24]]*Table6[[#This Row],[Ιουν-24]]</f>
        <v>-3.4352407932011319E-3</v>
      </c>
      <c r="AS24" s="107">
        <f>Table684[[#This Row],[Ιουλ-24]]*Table6[[#This Row],[Ιουλ-24]]</f>
        <v>1.5619080611060647E-3</v>
      </c>
      <c r="AT24" s="107">
        <f>Table684[[#This Row],[Αυγ-24]]*Table6[[#This Row],[Αυγ-24]]</f>
        <v>5.354817450641654E-4</v>
      </c>
      <c r="AU24" s="107">
        <f>Table684[[#This Row],[Σεπ-24]]*Table6[[#This Row],[Σεπ-24]]</f>
        <v>-6.5575416396671969E-4</v>
      </c>
      <c r="AV24" s="107">
        <f>Table684[[#This Row],[Οκτ-24]]*Table6[[#This Row],[Οκτ-24]]</f>
        <v>-2.537052663668754E-4</v>
      </c>
      <c r="AW24" s="107">
        <f>Table684[[#This Row],[Νοε-24]]*Table6[[#This Row],[Νοε-24]]</f>
        <v>-6.0194935758018612E-4</v>
      </c>
      <c r="AX24" s="107">
        <f>Table684[[#This Row],[Δεκ-24]]*Table6[[#This Row],[Δεκ-24]]</f>
        <v>-2.4901605481118989E-5</v>
      </c>
      <c r="AY24" s="126">
        <f>Table684[[#This Row],[Ιαν-25]]*Table6[[#This Row],[Ιαν-25]]</f>
        <v>1.1671010387157691E-3</v>
      </c>
      <c r="AZ24" s="107">
        <f>Table684[[#This Row],[Φεβ-25]]*Table6[[#This Row],[Φεβ-25]]</f>
        <v>1.5052819119662629E-3</v>
      </c>
      <c r="BA24" s="107">
        <f>Table684[[#This Row],[Μαρ-25]]*Table6[[#This Row],[Μαρ-25]]</f>
        <v>1.1285199710423363E-3</v>
      </c>
      <c r="BB24" s="107">
        <f>Table684[[#This Row],[Απρ-25]]*Table6[[#This Row],[Απρ-25]]</f>
        <v>2.2672631488029013E-3</v>
      </c>
      <c r="BC24" s="107">
        <f>Table684[[#This Row],[Μαϊ-25]]*Table6[[#This Row],[Μαϊ-25]]</f>
        <v>7.3875251850607972E-4</v>
      </c>
      <c r="BD24" s="126">
        <f>Table684[[#This Row],[Ιουν-25]]*Table6[[#This Row],[Ιουν-25]]</f>
        <v>-1.4680516210261249E-4</v>
      </c>
      <c r="BE24" s="107"/>
      <c r="BF24" s="153" cm="1">
        <f t="array" ref="BF24">PRODUCT(1+Table68[[#This Row],[Ιαν-21]:[Ιουν-25]])-1</f>
        <v>1.6475076000147304E-2</v>
      </c>
      <c r="BG24" s="112" t="s">
        <v>48</v>
      </c>
      <c r="BH24" s="112" t="str">
        <f>IF(Table68[[#This Row],[Cumulative Return ]]&lt;0,"Negative", IF(Table68[[#This Row],[Cumulative Return ]]&lt;0.025,"Positive","High Positive"))</f>
        <v>Positive</v>
      </c>
      <c r="BI24" s="113">
        <f>SLOPE(C24:BD24,$C$54:$BD$54)</f>
        <v>2.3568567499567733E-2</v>
      </c>
      <c r="BJ24" s="113"/>
      <c r="BK24" s="157"/>
      <c r="BM24" s="106" t="s">
        <v>113</v>
      </c>
      <c r="BN24" s="107">
        <v>8.1131292222951235E-3</v>
      </c>
    </row>
    <row r="25" spans="1:84">
      <c r="A25" s="110" t="s">
        <v>188</v>
      </c>
      <c r="B25" s="110" t="s">
        <v>189</v>
      </c>
      <c r="C25" s="126">
        <f>Table684[[#This Row],[Ιαν-21]]*Table6[[#This Row],[Ιαν-21]]</f>
        <v>-8.7130346588325789E-4</v>
      </c>
      <c r="D25" s="107">
        <f>Table684[[#This Row],[Φεβ-21]]*Table6[[#This Row],[Φεβ-21]]</f>
        <v>2.6340834897675171E-4</v>
      </c>
      <c r="E25" s="107">
        <f>Table684[[#This Row],[Μαρ-21]]*Table6[[#This Row],[Μαρ-21]]</f>
        <v>4.813348687760578E-4</v>
      </c>
      <c r="F25" s="107">
        <f>Table684[[#This Row],[Απρ-21]]*Table6[[#This Row],[Απρ-21]]</f>
        <v>3.9975192289407675E-4</v>
      </c>
      <c r="G25" s="107">
        <f>Table684[[#This Row],[Μαϊ-21]]*Table6[[#This Row],[Μαϊ-21]]</f>
        <v>1.6217540514517885E-4</v>
      </c>
      <c r="H25" s="126">
        <f>Table684[[#This Row],[Ιουν-21]]*Table6[[#This Row],[Ιουν-21]]</f>
        <v>2.1131046060224521E-4</v>
      </c>
      <c r="I25" s="107">
        <f>Table684[[#This Row],[Ιουλ-21]]*Table6[[#This Row],[Ιουλ-21]]</f>
        <v>7.2147988529341838E-5</v>
      </c>
      <c r="J25" s="107">
        <f>Table684[[#This Row],[Αυγ-21]]*Table6[[#This Row],[Αυγ-21]]</f>
        <v>-1.3675765373860014E-4</v>
      </c>
      <c r="K25" s="107">
        <f>Table684[[#This Row],[Σεπ-21]]*Table6[[#This Row],[Σεπ-21]]</f>
        <v>1.9739801519542936E-4</v>
      </c>
      <c r="L25" s="107">
        <f>Table684[[#This Row],[Οκτ-21]]*Table6[[#This Row],[Οκτ-21]]</f>
        <v>5.7712326278831706E-4</v>
      </c>
      <c r="M25" s="107">
        <f>Table684[[#This Row],[Νοε-21]]*Table6[[#This Row],[Νοε-21]]</f>
        <v>-6.5959839073021853E-4</v>
      </c>
      <c r="N25" s="107">
        <f>Table684[[#This Row],[Δεκ-21]]*Table6[[#This Row],[Δεκ-21]]</f>
        <v>8.5789287426423898E-4</v>
      </c>
      <c r="O25" s="126">
        <f>Table684[[#This Row],[Ιαν-22]]*Table6[[#This Row],[Ιαν-22]]</f>
        <v>-7.6423949917812028E-4</v>
      </c>
      <c r="P25" s="107">
        <f>Table684[[#This Row],[Φεβ-22]]*Table6[[#This Row],[Φεβ-22]]</f>
        <v>-3.863442459946439E-5</v>
      </c>
      <c r="Q25" s="107">
        <f>Table684[[#This Row],[Μαρ-22]]*Table6[[#This Row],[Μαρ-22]]</f>
        <v>-7.7677766230678185E-5</v>
      </c>
      <c r="R25" s="107">
        <f>Table684[[#This Row],[Απρ-22]]*Table6[[#This Row],[Απρ-22]]</f>
        <v>1.2134375014055031E-4</v>
      </c>
      <c r="S25" s="107">
        <f>Table684[[#This Row],[Μαϊ-22]]*Table6[[#This Row],[Μαϊ-22]]</f>
        <v>-7.5107901527576195E-5</v>
      </c>
      <c r="T25" s="126">
        <f>Table684[[#This Row],[Ιουν-22]]*Table6[[#This Row],[Ιουν-22]]</f>
        <v>5.2827615150561302E-5</v>
      </c>
      <c r="U25" s="107">
        <f>Table684[[#This Row],[Ιουλ-22]]*Table6[[#This Row],[Ιουλ-22]]</f>
        <v>6.0186252175240213E-4</v>
      </c>
      <c r="V25" s="107">
        <f>Table684[[#This Row],[Αυγ-22]]*Table6[[#This Row],[Αυγ-22]]</f>
        <v>-3.3029404236631908E-4</v>
      </c>
      <c r="W25" s="107">
        <f>Table684[[#This Row],[Σεπ-22]]*Table6[[#This Row],[Σεπ-22]]</f>
        <v>-5.0322190626678231E-4</v>
      </c>
      <c r="X25" s="107">
        <f>Table684[[#This Row],[Οκτ-22]]*Table6[[#This Row],[Οκτ-22]]</f>
        <v>4.4016189056787807E-4</v>
      </c>
      <c r="Y25" s="107">
        <f>Table684[[#This Row],[Νοε-22]]*Table6[[#This Row],[Νοε-22]]</f>
        <v>4.1363853439256245E-4</v>
      </c>
      <c r="Z25" s="107">
        <f>Table684[[#This Row],[Δεκ-22]]*Table6[[#This Row],[Δεκ-22]]</f>
        <v>-3.3101519840210441E-4</v>
      </c>
      <c r="AA25" s="126">
        <f>Table684[[#This Row],[Ιαν-23]]*Table6[[#This Row],[Ιαν-23]]</f>
        <v>7.395866121078583E-4</v>
      </c>
      <c r="AB25" s="107">
        <f>Table684[[#This Row],[Φεβ-23]]*Table6[[#This Row],[Φεβ-23]]</f>
        <v>-2.0554753953133331E-4</v>
      </c>
      <c r="AC25" s="107">
        <f>Table684[[#This Row],[Μαρ-23]]*Table6[[#This Row],[Μαρ-23]]</f>
        <v>2.1521524312650362E-4</v>
      </c>
      <c r="AD25" s="107">
        <f>Table684[[#This Row],[Απρ-23]]*Table6[[#This Row],[Απρ-23]]</f>
        <v>3.4633778915257391E-4</v>
      </c>
      <c r="AE25" s="107">
        <f>Table684[[#This Row],[Μαϊ-23]]*Table6[[#This Row],[Μαϊ-23]]</f>
        <v>1.3076271632287805E-4</v>
      </c>
      <c r="AF25" s="126">
        <f>Table684[[#This Row],[Ιουν-23]]*Table6[[#This Row],[Ιουν-23]]</f>
        <v>4.9305774140523884E-6</v>
      </c>
      <c r="AG25" s="107">
        <f>Table684[[#This Row],[Ιουλ-23]]*Table6[[#This Row],[Ιουλ-23]]</f>
        <v>3.4641463591992628E-4</v>
      </c>
      <c r="AH25" s="107">
        <f>Table684[[#This Row],[Αυγ-23]]*Table6[[#This Row],[Αυγ-23]]</f>
        <v>-2.0748241890492921E-4</v>
      </c>
      <c r="AI25" s="107">
        <f>Table684[[#This Row],[Σεπ-23]]*Table6[[#This Row],[Σεπ-23]]</f>
        <v>-6.6796496223687943E-5</v>
      </c>
      <c r="AJ25" s="107">
        <f>Table684[[#This Row],[Οκτ-23]]*Table6[[#This Row],[Οκτ-23]]</f>
        <v>-2.168221181096307E-5</v>
      </c>
      <c r="AK25" s="107">
        <f>Table684[[#This Row],[Νοε-23]]*Table6[[#This Row],[Νοε-23]]</f>
        <v>8.4671460135481722E-4</v>
      </c>
      <c r="AL25" s="107">
        <f>Table684[[#This Row],[Δεκ-23]]*Table6[[#This Row],[Δεκ-23]]</f>
        <v>2.9569307395683109E-4</v>
      </c>
      <c r="AM25" s="126">
        <f>Table684[[#This Row],[Ιαν-24]]*Table6[[#This Row],[Ιαν-24]]</f>
        <v>5.0996257825341854E-4</v>
      </c>
      <c r="AN25" s="107">
        <f>Table684[[#This Row],[Φεβ-24]]*Table6[[#This Row],[Φεβ-24]]</f>
        <v>-1.5966012905942951E-4</v>
      </c>
      <c r="AO25" s="107">
        <f>Table684[[#This Row],[Μαρ-24]]*Table6[[#This Row],[Μαρ-24]]</f>
        <v>4.1157487010906791E-4</v>
      </c>
      <c r="AP25" s="107">
        <f>Table684[[#This Row],[Απρ-24]]*Table6[[#This Row],[Απρ-24]]</f>
        <v>-5.5315215585618007E-4</v>
      </c>
      <c r="AQ25" s="107">
        <f>Table684[[#This Row],[Μαϊ-24]]*Table6[[#This Row],[Μαϊ-24]]</f>
        <v>5.3102469145485795E-4</v>
      </c>
      <c r="AR25" s="126">
        <f>Table684[[#This Row],[Ιουν-24]]*Table6[[#This Row],[Ιουν-24]]</f>
        <v>0</v>
      </c>
      <c r="AS25" s="107">
        <f>Table684[[#This Row],[Ιουλ-24]]*Table6[[#This Row],[Ιουλ-24]]</f>
        <v>9.4069014930635094E-5</v>
      </c>
      <c r="AT25" s="107">
        <f>Table684[[#This Row],[Αυγ-24]]*Table6[[#This Row],[Αυγ-24]]</f>
        <v>1.9104838915758417E-4</v>
      </c>
      <c r="AU25" s="107">
        <f>Table684[[#This Row],[Σεπ-24]]*Table6[[#This Row],[Σεπ-24]]</f>
        <v>1.5664397754795289E-4</v>
      </c>
      <c r="AV25" s="107">
        <f>Table684[[#This Row],[Οκτ-24]]*Table6[[#This Row],[Οκτ-24]]</f>
        <v>-3.1671828038754853E-4</v>
      </c>
      <c r="AW25" s="107">
        <f>Table684[[#This Row],[Νοε-24]]*Table6[[#This Row],[Νοε-24]]</f>
        <v>5.0274514680367889E-4</v>
      </c>
      <c r="AX25" s="107">
        <f>Table684[[#This Row],[Δεκ-24]]*Table6[[#This Row],[Δεκ-24]]</f>
        <v>3.0593808284113441E-4</v>
      </c>
      <c r="AY25" s="126">
        <f>Table684[[#This Row],[Ιαν-25]]*Table6[[#This Row],[Ιαν-25]]</f>
        <v>1.3876053579547435E-4</v>
      </c>
      <c r="AZ25" s="107">
        <f>Table684[[#This Row],[Φεβ-25]]*Table6[[#This Row],[Φεβ-25]]</f>
        <v>2.2889696040541771E-4</v>
      </c>
      <c r="BA25" s="107">
        <f>Table684[[#This Row],[Μαρ-25]]*Table6[[#This Row],[Μαρ-25]]</f>
        <v>-2.5173225574508376E-4</v>
      </c>
      <c r="BB25" s="107">
        <f>Table684[[#This Row],[Απρ-25]]*Table6[[#This Row],[Απρ-25]]</f>
        <v>2.670607501804327E-4</v>
      </c>
      <c r="BC25" s="107">
        <f>Table684[[#This Row],[Μαϊ-25]]*Table6[[#This Row],[Μαϊ-25]]</f>
        <v>3.5349899717164788E-4</v>
      </c>
      <c r="BD25" s="126">
        <f>Table684[[#This Row],[Ιουν-25]]*Table6[[#This Row],[Ιουν-25]]</f>
        <v>6.6210610988703511E-5</v>
      </c>
      <c r="BE25" s="107"/>
      <c r="BF25" s="153" cm="1">
        <f t="array" ref="BF25">PRODUCT(1+Table68[[#This Row],[Ιαν-21]:[Ιουν-25]])-1</f>
        <v>5.9784903646247223E-3</v>
      </c>
      <c r="BG25" s="112" t="s">
        <v>48</v>
      </c>
      <c r="BH25" s="112" t="str">
        <f>IF(Table68[[#This Row],[Cumulative Return ]]&lt;0,"Negative", IF(Table68[[#This Row],[Cumulative Return ]]&lt;0.025,"Positive","High Positive"))</f>
        <v>Positive</v>
      </c>
      <c r="BI25" s="113">
        <f>SLOPE(C25:BD25,$C$54:$BD$54)</f>
        <v>7.1094753202187271E-3</v>
      </c>
      <c r="BJ25" s="113"/>
      <c r="BK25" s="157"/>
      <c r="BM25" s="106" t="s">
        <v>61</v>
      </c>
      <c r="BN25" s="107">
        <v>9.3917381658508159E-3</v>
      </c>
    </row>
    <row r="26" spans="1:84">
      <c r="A26" s="110" t="s">
        <v>61</v>
      </c>
      <c r="B26" s="110" t="s">
        <v>62</v>
      </c>
      <c r="C26" s="126">
        <f>Table684[[#This Row],[Ιαν-21]]*Table6[[#This Row],[Ιαν-21]]</f>
        <v>-7.5218969677893208E-5</v>
      </c>
      <c r="D26" s="107">
        <f>Table684[[#This Row],[Φεβ-21]]*Table6[[#This Row],[Φεβ-21]]</f>
        <v>-2.2071378296839375E-3</v>
      </c>
      <c r="E26" s="107">
        <f>Table684[[#This Row],[Μαρ-21]]*Table6[[#This Row],[Μαρ-21]]</f>
        <v>2.1135956813993027E-3</v>
      </c>
      <c r="F26" s="107">
        <f>Table684[[#This Row],[Απρ-21]]*Table6[[#This Row],[Απρ-21]]</f>
        <v>-7.5595816985895518E-4</v>
      </c>
      <c r="G26" s="107">
        <f>Table684[[#This Row],[Μαϊ-21]]*Table6[[#This Row],[Μαϊ-21]]</f>
        <v>2.0501090190892485E-3</v>
      </c>
      <c r="H26" s="126">
        <f>Table684[[#This Row],[Ιουν-21]]*Table6[[#This Row],[Ιουν-21]]</f>
        <v>5.5050883433008079E-3</v>
      </c>
      <c r="I26" s="107">
        <f>Table684[[#This Row],[Ιουλ-21]]*Table6[[#This Row],[Ιουλ-21]]</f>
        <v>1.3237479541310419E-3</v>
      </c>
      <c r="J26" s="107">
        <f>Table684[[#This Row],[Αυγ-21]]*Table6[[#This Row],[Αυγ-21]]</f>
        <v>2.2615712952496416E-3</v>
      </c>
      <c r="K26" s="107">
        <f>Table684[[#This Row],[Σεπ-21]]*Table6[[#This Row],[Σεπ-21]]</f>
        <v>-3.7088631321637614E-3</v>
      </c>
      <c r="L26" s="107">
        <f>Table684[[#This Row],[Οκτ-21]]*Table6[[#This Row],[Οκτ-21]]</f>
        <v>2.9286766836129729E-3</v>
      </c>
      <c r="M26" s="107">
        <f>Table684[[#This Row],[Νοε-21]]*Table6[[#This Row],[Νοε-21]]</f>
        <v>1.6614385141415814E-3</v>
      </c>
      <c r="N26" s="107">
        <f>Table684[[#This Row],[Δεκ-21]]*Table6[[#This Row],[Δεκ-21]]</f>
        <v>3.3331286216619284E-3</v>
      </c>
      <c r="O26" s="126">
        <f>Table684[[#This Row],[Ιαν-22]]*Table6[[#This Row],[Ιαν-22]]</f>
        <v>-3.121587241632568E-3</v>
      </c>
      <c r="P26" s="107">
        <f>Table684[[#This Row],[Φεβ-22]]*Table6[[#This Row],[Φεβ-22]]</f>
        <v>-2.9217005361412721E-4</v>
      </c>
      <c r="Q26" s="107">
        <f>Table684[[#This Row],[Μαρ-22]]*Table6[[#This Row],[Μαρ-22]]</f>
        <v>3.7985984302910413E-3</v>
      </c>
      <c r="R26" s="107">
        <f>Table684[[#This Row],[Απρ-22]]*Table6[[#This Row],[Απρ-22]]</f>
        <v>-7.0555115616620086E-4</v>
      </c>
      <c r="S26" s="107">
        <f>Table684[[#This Row],[Μαϊ-22]]*Table6[[#This Row],[Μαϊ-22]]</f>
        <v>-4.8449604660376353E-3</v>
      </c>
      <c r="T26" s="126">
        <f>Table684[[#This Row],[Ιουν-22]]*Table6[[#This Row],[Ιουν-22]]</f>
        <v>1.9274860979960135E-4</v>
      </c>
      <c r="U26" s="107">
        <f>Table684[[#This Row],[Ιουλ-22]]*Table6[[#This Row],[Ιουλ-22]]</f>
        <v>9.9958664689984425E-4</v>
      </c>
      <c r="V26" s="107">
        <f>Table684[[#This Row],[Αυγ-22]]*Table6[[#This Row],[Αυγ-22]]</f>
        <v>-4.7755981533380743E-4</v>
      </c>
      <c r="W26" s="107">
        <f>Table684[[#This Row],[Σεπ-22]]*Table6[[#This Row],[Σεπ-22]]</f>
        <v>2.2606455870055301E-3</v>
      </c>
      <c r="X26" s="107">
        <f>Table684[[#This Row],[Οκτ-22]]*Table6[[#This Row],[Οκτ-22]]</f>
        <v>3.3957034704251307E-5</v>
      </c>
      <c r="Y26" s="107">
        <f>Table684[[#This Row],[Νοε-22]]*Table6[[#This Row],[Νοε-22]]</f>
        <v>-3.5106192858798701E-3</v>
      </c>
      <c r="Z26" s="107">
        <f>Table684[[#This Row],[Δεκ-22]]*Table6[[#This Row],[Δεκ-22]]</f>
        <v>-2.8310445684336062E-3</v>
      </c>
      <c r="AA26" s="126">
        <f>Table684[[#This Row],[Ιαν-23]]*Table6[[#This Row],[Ιαν-23]]</f>
        <v>-1.2834236701290528E-3</v>
      </c>
      <c r="AB26" s="107">
        <f>Table684[[#This Row],[Φεβ-23]]*Table6[[#This Row],[Φεβ-23]]</f>
        <v>-1.8659676032381531E-3</v>
      </c>
      <c r="AC26" s="107">
        <f>Table684[[#This Row],[Μαρ-23]]*Table6[[#This Row],[Μαρ-23]]</f>
        <v>-1.3384778039800987E-4</v>
      </c>
      <c r="AD26" s="107">
        <f>Table684[[#This Row],[Απρ-23]]*Table6[[#This Row],[Απρ-23]]</f>
        <v>3.2858409502197865E-3</v>
      </c>
      <c r="AE26" s="107">
        <f>Table684[[#This Row],[Μαϊ-23]]*Table6[[#This Row],[Μαϊ-23]]</f>
        <v>1.6610421461135017E-3</v>
      </c>
      <c r="AF26" s="126">
        <f>Table684[[#This Row],[Ιουν-23]]*Table6[[#This Row],[Ιουν-23]]</f>
        <v>-2.5903532682824471E-3</v>
      </c>
      <c r="AG26" s="107">
        <f>Table684[[#This Row],[Ιουλ-23]]*Table6[[#This Row],[Ιουλ-23]]</f>
        <v>4.2199174349255185E-4</v>
      </c>
      <c r="AH26" s="107">
        <f>Table684[[#This Row],[Αυγ-23]]*Table6[[#This Row],[Αυγ-23]]</f>
        <v>-1.6187848162227789E-3</v>
      </c>
      <c r="AI26" s="107">
        <f>Table684[[#This Row],[Σεπ-23]]*Table6[[#This Row],[Σεπ-23]]</f>
        <v>-2.0135168063293621E-3</v>
      </c>
      <c r="AJ26" s="107">
        <f>Table684[[#This Row],[Οκτ-23]]*Table6[[#This Row],[Οκτ-23]]</f>
        <v>-2.4616854797352007E-3</v>
      </c>
      <c r="AK26" s="107">
        <f>Table684[[#This Row],[Νοε-23]]*Table6[[#This Row],[Νοε-23]]</f>
        <v>7.5313771557188633E-4</v>
      </c>
      <c r="AL26" s="107">
        <f>Table684[[#This Row],[Δεκ-23]]*Table6[[#This Row],[Δεκ-23]]</f>
        <v>2.3235734886569107E-3</v>
      </c>
      <c r="AM26" s="126">
        <f>Table684[[#This Row],[Ιαν-24]]*Table6[[#This Row],[Ιαν-24]]</f>
        <v>2.8207113629209952E-4</v>
      </c>
      <c r="AN26" s="107">
        <f>Table684[[#This Row],[Φεβ-24]]*Table6[[#This Row],[Φεβ-24]]</f>
        <v>-3.849791275686664E-3</v>
      </c>
      <c r="AO26" s="107">
        <f>Table684[[#This Row],[Μαρ-24]]*Table6[[#This Row],[Μαρ-24]]</f>
        <v>4.863907289221915E-4</v>
      </c>
      <c r="AP26" s="107">
        <f>Table684[[#This Row],[Απρ-24]]*Table6[[#This Row],[Απρ-24]]</f>
        <v>-1.8340356184415717E-3</v>
      </c>
      <c r="AQ26" s="107">
        <f>Table684[[#This Row],[Μαϊ-24]]*Table6[[#This Row],[Μαϊ-24]]</f>
        <v>1.7905589908596812E-3</v>
      </c>
      <c r="AR26" s="126">
        <f>Table684[[#This Row],[Ιουν-24]]*Table6[[#This Row],[Ιουν-24]]</f>
        <v>4.6588749344245095E-3</v>
      </c>
      <c r="AS26" s="107">
        <f>Table684[[#This Row],[Ιουλ-24]]*Table6[[#This Row],[Ιουλ-24]]</f>
        <v>8.3069467362069053E-3</v>
      </c>
      <c r="AT26" s="107">
        <f>Table684[[#This Row],[Αυγ-24]]*Table6[[#This Row],[Αυγ-24]]</f>
        <v>1.0195680665596458E-3</v>
      </c>
      <c r="AU26" s="107">
        <f>Table684[[#This Row],[Σεπ-24]]*Table6[[#This Row],[Σεπ-24]]</f>
        <v>-3.4497370995553141E-3</v>
      </c>
      <c r="AV26" s="107">
        <f>Table684[[#This Row],[Οκτ-24]]*Table6[[#This Row],[Οκτ-24]]</f>
        <v>-4.5589772027090599E-4</v>
      </c>
      <c r="AW26" s="107">
        <f>Table684[[#This Row],[Νοε-24]]*Table6[[#This Row],[Νοε-24]]</f>
        <v>-2.0780994855200893E-3</v>
      </c>
      <c r="AX26" s="107">
        <f>Table684[[#This Row],[Δεκ-24]]*Table6[[#This Row],[Δεκ-24]]</f>
        <v>-5.372968282167256E-4</v>
      </c>
      <c r="AY26" s="126">
        <f>Table684[[#This Row],[Ιαν-25]]*Table6[[#This Row],[Ιαν-25]]</f>
        <v>5.3123397335012069E-3</v>
      </c>
      <c r="AZ26" s="107">
        <f>Table684[[#This Row],[Φεβ-25]]*Table6[[#This Row],[Φεβ-25]]</f>
        <v>2.7030314442879843E-3</v>
      </c>
      <c r="BA26" s="107">
        <f>Table684[[#This Row],[Μαρ-25]]*Table6[[#This Row],[Μαρ-25]]</f>
        <v>-8.0143295958749869E-4</v>
      </c>
      <c r="BB26" s="107">
        <f>Table684[[#This Row],[Απρ-25]]*Table6[[#This Row],[Απρ-25]]</f>
        <v>-2.4930450931910388E-3</v>
      </c>
      <c r="BC26" s="107">
        <f>Table684[[#This Row],[Μαϊ-25]]*Table6[[#This Row],[Μαϊ-25]]</f>
        <v>-6.2539737879951647E-4</v>
      </c>
      <c r="BD26" s="126">
        <f>Table684[[#This Row],[Ιουν-25]]*Table6[[#This Row],[Ιουν-25]]</f>
        <v>-1.3069295981533943E-3</v>
      </c>
      <c r="BE26" s="107"/>
      <c r="BF26" s="153" cm="1">
        <f t="array" ref="BF26">PRODUCT(1+Table68[[#This Row],[Ιαν-21]:[Ιουν-25]])-1</f>
        <v>9.3917381658508159E-3</v>
      </c>
      <c r="BG26" s="112" t="s">
        <v>59</v>
      </c>
      <c r="BH26" s="112" t="str">
        <f>IF(Table68[[#This Row],[Cumulative Return ]]&lt;0,"Negative", IF(Table68[[#This Row],[Cumulative Return ]]&lt;0.025,"Positive","High Positive"))</f>
        <v>Positive</v>
      </c>
      <c r="BI26" s="113">
        <f>SLOPE(C26:BD26,$C$54:$BD$54)</f>
        <v>1.9283322741186611E-2</v>
      </c>
      <c r="BJ26" s="113"/>
      <c r="BK26" s="157"/>
      <c r="BM26" s="106" t="s">
        <v>137</v>
      </c>
      <c r="BN26" s="107">
        <v>1.0115979027640165E-2</v>
      </c>
    </row>
    <row r="27" spans="1:84">
      <c r="A27" s="110" t="s">
        <v>83</v>
      </c>
      <c r="B27" s="110" t="s">
        <v>84</v>
      </c>
      <c r="C27" s="126">
        <f>Table684[[#This Row],[Ιαν-21]]*Table6[[#This Row],[Ιαν-21]]</f>
        <v>1.5792722694365753E-3</v>
      </c>
      <c r="D27" s="107">
        <f>Table684[[#This Row],[Φεβ-21]]*Table6[[#This Row],[Φεβ-21]]</f>
        <v>-1.6336430139832134E-3</v>
      </c>
      <c r="E27" s="107">
        <f>Table684[[#This Row],[Μαρ-21]]*Table6[[#This Row],[Μαρ-21]]</f>
        <v>2.7143455280852565E-3</v>
      </c>
      <c r="F27" s="107">
        <f>Table684[[#This Row],[Απρ-21]]*Table6[[#This Row],[Απρ-21]]</f>
        <v>1.8531675969745065E-3</v>
      </c>
      <c r="G27" s="107">
        <f>Table684[[#This Row],[Μαϊ-21]]*Table6[[#This Row],[Μαϊ-21]]</f>
        <v>2.4828136503496283E-3</v>
      </c>
      <c r="H27" s="126">
        <f>Table684[[#This Row],[Ιουν-21]]*Table6[[#This Row],[Ιουν-21]]</f>
        <v>3.6395872416325669E-3</v>
      </c>
      <c r="I27" s="107">
        <f>Table684[[#This Row],[Ιουλ-21]]*Table6[[#This Row],[Ιουλ-21]]</f>
        <v>-2.0175490758937977E-3</v>
      </c>
      <c r="J27" s="107">
        <f>Table684[[#This Row],[Αυγ-21]]*Table6[[#This Row],[Αυγ-21]]</f>
        <v>1.4381286350711603E-3</v>
      </c>
      <c r="K27" s="107">
        <f>Table684[[#This Row],[Σεπ-21]]*Table6[[#This Row],[Σεπ-21]]</f>
        <v>2.3355442960560063E-3</v>
      </c>
      <c r="L27" s="107">
        <f>Table684[[#This Row],[Οκτ-21]]*Table6[[#This Row],[Οκτ-21]]</f>
        <v>1.6781206312276923E-3</v>
      </c>
      <c r="M27" s="107">
        <f>Table684[[#This Row],[Νοε-21]]*Table6[[#This Row],[Νοε-21]]</f>
        <v>-4.8533687837296899E-3</v>
      </c>
      <c r="N27" s="107">
        <f>Table684[[#This Row],[Δεκ-21]]*Table6[[#This Row],[Δεκ-21]]</f>
        <v>2.8783853463134243E-3</v>
      </c>
      <c r="O27" s="126">
        <f>Table684[[#This Row],[Ιαν-22]]*Table6[[#This Row],[Ιαν-22]]</f>
        <v>2.2690693526387578E-5</v>
      </c>
      <c r="P27" s="107">
        <f>Table684[[#This Row],[Φεβ-22]]*Table6[[#This Row],[Φεβ-22]]</f>
        <v>3.0316312289377654E-3</v>
      </c>
      <c r="Q27" s="107">
        <f>Table684[[#This Row],[Μαρ-22]]*Table6[[#This Row],[Μαρ-22]]</f>
        <v>5.5491961675289041E-3</v>
      </c>
      <c r="R27" s="107">
        <f>Table684[[#This Row],[Απρ-22]]*Table6[[#This Row],[Απρ-22]]</f>
        <v>3.370052322533922E-3</v>
      </c>
      <c r="S27" s="107">
        <f>Table684[[#This Row],[Μαϊ-22]]*Table6[[#This Row],[Μαϊ-22]]</f>
        <v>-2.0606108481695234E-3</v>
      </c>
      <c r="T27" s="126">
        <f>Table684[[#This Row],[Ιουν-22]]*Table6[[#This Row],[Ιουν-22]]</f>
        <v>9.3031843458189073E-4</v>
      </c>
      <c r="U27" s="107">
        <f>Table684[[#This Row],[Ιουλ-22]]*Table6[[#This Row],[Ιουλ-22]]</f>
        <v>1.5892028205055182E-3</v>
      </c>
      <c r="V27" s="107">
        <f>Table684[[#This Row],[Αυγ-22]]*Table6[[#This Row],[Αυγ-22]]</f>
        <v>-2.0674114730162333E-3</v>
      </c>
      <c r="W27" s="107">
        <f>Table684[[#This Row],[Σεπ-22]]*Table6[[#This Row],[Σεπ-22]]</f>
        <v>-4.0151098455860528E-3</v>
      </c>
      <c r="X27" s="107">
        <f>Table684[[#This Row],[Οκτ-22]]*Table6[[#This Row],[Οκτ-22]]</f>
        <v>2.4907801473477314E-3</v>
      </c>
      <c r="Y27" s="107">
        <f>Table684[[#This Row],[Νοε-22]]*Table6[[#This Row],[Νοε-22]]</f>
        <v>4.0732816803613148E-3</v>
      </c>
      <c r="Z27" s="107">
        <f>Table684[[#This Row],[Δεκ-22]]*Table6[[#This Row],[Δεκ-22]]</f>
        <v>-9.3990839159485142E-4</v>
      </c>
      <c r="AA27" s="126">
        <f>Table684[[#This Row],[Ιαν-23]]*Table6[[#This Row],[Ιαν-23]]</f>
        <v>-2.350755849333753E-3</v>
      </c>
      <c r="AB27" s="107">
        <f>Table684[[#This Row],[Φεβ-23]]*Table6[[#This Row],[Φεβ-23]]</f>
        <v>1.8939858445793693E-3</v>
      </c>
      <c r="AC27" s="107">
        <f>Table684[[#This Row],[Μαρ-23]]*Table6[[#This Row],[Μαρ-23]]</f>
        <v>1.1376594596836452E-3</v>
      </c>
      <c r="AD27" s="107">
        <f>Table684[[#This Row],[Απρ-23]]*Table6[[#This Row],[Απρ-23]]</f>
        <v>2.0506506850884983E-3</v>
      </c>
      <c r="AE27" s="107">
        <f>Table684[[#This Row],[Μαϊ-23]]*Table6[[#This Row],[Μαϊ-23]]</f>
        <v>5.946045063157738E-4</v>
      </c>
      <c r="AF27" s="126">
        <f>Table684[[#This Row],[Ιουν-23]]*Table6[[#This Row],[Ιουν-23]]</f>
        <v>-1.4839713566257475E-3</v>
      </c>
      <c r="AG27" s="107">
        <f>Table684[[#This Row],[Ιουλ-23]]*Table6[[#This Row],[Ιουλ-23]]</f>
        <v>-2.1276176737560602E-4</v>
      </c>
      <c r="AH27" s="107">
        <f>Table684[[#This Row],[Αυγ-23]]*Table6[[#This Row],[Αυγ-23]]</f>
        <v>-1.6799407698709949E-3</v>
      </c>
      <c r="AI27" s="107">
        <f>Table684[[#This Row],[Σεπ-23]]*Table6[[#This Row],[Σεπ-23]]</f>
        <v>1.1562624150772167E-3</v>
      </c>
      <c r="AJ27" s="107">
        <f>Table684[[#This Row],[Οκτ-23]]*Table6[[#This Row],[Οκτ-23]]</f>
        <v>-3.4262036575208807E-3</v>
      </c>
      <c r="AK27" s="107">
        <f>Table684[[#This Row],[Νοε-23]]*Table6[[#This Row],[Νοε-23]]</f>
        <v>-1.3771430164703338E-4</v>
      </c>
      <c r="AL27" s="107">
        <f>Table684[[#This Row],[Δεκ-23]]*Table6[[#This Row],[Δεκ-23]]</f>
        <v>1.5585410175067323E-3</v>
      </c>
      <c r="AM27" s="126">
        <f>Table684[[#This Row],[Ιαν-24]]*Table6[[#This Row],[Ιαν-24]]</f>
        <v>2.9497901584303848E-4</v>
      </c>
      <c r="AN27" s="107">
        <f>Table684[[#This Row],[Φεβ-24]]*Table6[[#This Row],[Φεβ-24]]</f>
        <v>-1.6839309588077393E-3</v>
      </c>
      <c r="AO27" s="107">
        <f>Table684[[#This Row],[Μαρ-24]]*Table6[[#This Row],[Μαρ-24]]</f>
        <v>2.9493807451831363E-3</v>
      </c>
      <c r="AP27" s="107">
        <f>Table684[[#This Row],[Απρ-24]]*Table6[[#This Row],[Απρ-24]]</f>
        <v>5.5655736463470582E-3</v>
      </c>
      <c r="AQ27" s="107">
        <f>Table684[[#This Row],[Μαϊ-24]]*Table6[[#This Row],[Μαϊ-24]]</f>
        <v>6.1035285483832696E-4</v>
      </c>
      <c r="AR27" s="126">
        <f>Table684[[#This Row],[Ιουν-24]]*Table6[[#This Row],[Ιουν-24]]</f>
        <v>8.5770821529745044E-4</v>
      </c>
      <c r="AS27" s="107">
        <f>Table684[[#This Row],[Ιουλ-24]]*Table6[[#This Row],[Ιουλ-24]]</f>
        <v>3.6022427516463595E-4</v>
      </c>
      <c r="AT27" s="107">
        <f>Table684[[#This Row],[Αυγ-24]]*Table6[[#This Row],[Αυγ-24]]</f>
        <v>3.6503390751083751E-3</v>
      </c>
      <c r="AU27" s="107">
        <f>Table684[[#This Row],[Σεπ-24]]*Table6[[#This Row],[Σεπ-24]]</f>
        <v>-5.5913973602085857E-3</v>
      </c>
      <c r="AV27" s="107">
        <f>Table684[[#This Row],[Οκτ-24]]*Table6[[#This Row],[Οκτ-24]]</f>
        <v>-2.625080864777459E-3</v>
      </c>
      <c r="AW27" s="107">
        <f>Table684[[#This Row],[Νοε-24]]*Table6[[#This Row],[Νοε-24]]</f>
        <v>-9.2846105586458433E-4</v>
      </c>
      <c r="AX27" s="107">
        <f>Table684[[#This Row],[Δεκ-24]]*Table6[[#This Row],[Δεκ-24]]</f>
        <v>-3.4939876896956527E-4</v>
      </c>
      <c r="AY27" s="126">
        <f>Table684[[#This Row],[Ιαν-25]]*Table6[[#This Row],[Ιαν-25]]</f>
        <v>3.2084640646312034E-3</v>
      </c>
      <c r="AZ27" s="107">
        <f>Table684[[#This Row],[Φεβ-25]]*Table6[[#This Row],[Φεβ-25]]</f>
        <v>3.8103227105619739E-3</v>
      </c>
      <c r="BA27" s="107">
        <f>Table684[[#This Row],[Μαρ-25]]*Table6[[#This Row],[Μαρ-25]]</f>
        <v>-3.4031363115552831E-3</v>
      </c>
      <c r="BB27" s="107">
        <f>Table684[[#This Row],[Απρ-25]]*Table6[[#This Row],[Απρ-25]]</f>
        <v>-2.7188900047869793E-3</v>
      </c>
      <c r="BC27" s="107">
        <f>Table684[[#This Row],[Μαϊ-25]]*Table6[[#This Row],[Μαϊ-25]]</f>
        <v>3.4176337864532768E-4</v>
      </c>
      <c r="BD27" s="126">
        <f>Table684[[#This Row],[Ιουν-25]]*Table6[[#This Row],[Ιουν-25]]</f>
        <v>-3.2674598677998111E-3</v>
      </c>
      <c r="BE27" s="107"/>
      <c r="BF27" s="153" cm="1">
        <f t="array" ref="BF27">PRODUCT(1+Table68[[#This Row],[Ιαν-21]:[Ιουν-25]])-1</f>
        <v>2.4357054449007709E-2</v>
      </c>
      <c r="BG27" s="112" t="s">
        <v>59</v>
      </c>
      <c r="BH27" s="112" t="str">
        <f>IF(Table68[[#This Row],[Cumulative Return ]]&lt;0,"Negative", IF(Table68[[#This Row],[Cumulative Return ]]&lt;0.025,"Positive","High Positive"))</f>
        <v>Positive</v>
      </c>
      <c r="BI27" s="113">
        <f>SLOPE(C27:BD27,$C$54:$BD$54)</f>
        <v>2.6998359583775534E-2</v>
      </c>
      <c r="BJ27" s="113"/>
      <c r="BK27" s="157"/>
      <c r="BM27" s="106" t="s">
        <v>222</v>
      </c>
      <c r="BN27" s="107">
        <v>1.2654255523583124E-2</v>
      </c>
    </row>
    <row r="28" spans="1:84">
      <c r="A28" s="110" t="s">
        <v>150</v>
      </c>
      <c r="B28" s="111" t="s">
        <v>151</v>
      </c>
      <c r="C28" s="126">
        <f>Table684[[#This Row],[Ιαν-21]]*Table6[[#This Row],[Ιαν-21]]</f>
        <v>-5.1927720071346143E-4</v>
      </c>
      <c r="D28" s="107">
        <f>Table684[[#This Row],[Φεβ-21]]*Table6[[#This Row],[Φεβ-21]]</f>
        <v>-4.5729306134149054E-4</v>
      </c>
      <c r="E28" s="107">
        <f>Table684[[#This Row],[Μαρ-21]]*Table6[[#This Row],[Μαρ-21]]</f>
        <v>2.7507583131274609E-3</v>
      </c>
      <c r="F28" s="107">
        <f>Table684[[#This Row],[Απρ-21]]*Table6[[#This Row],[Απρ-21]]</f>
        <v>9.1938848905162172E-4</v>
      </c>
      <c r="G28" s="107">
        <f>Table684[[#This Row],[Μαϊ-21]]*Table6[[#This Row],[Μαϊ-21]]</f>
        <v>9.0755581061480455E-4</v>
      </c>
      <c r="H28" s="126">
        <f>Table684[[#This Row],[Ιουν-21]]*Table6[[#This Row],[Ιουν-21]]</f>
        <v>4.217479802748926E-4</v>
      </c>
      <c r="I28" s="107">
        <f>Table684[[#This Row],[Ιουλ-21]]*Table6[[#This Row],[Ιουλ-21]]</f>
        <v>-4.4036124917387626E-4</v>
      </c>
      <c r="J28" s="107">
        <f>Table684[[#This Row],[Αυγ-21]]*Table6[[#This Row],[Αυγ-21]]</f>
        <v>2.1756086479094675E-4</v>
      </c>
      <c r="K28" s="107">
        <f>Table684[[#This Row],[Σεπ-21]]*Table6[[#This Row],[Σεπ-21]]</f>
        <v>-1.3028110305518274E-3</v>
      </c>
      <c r="L28" s="107">
        <f>Table684[[#This Row],[Οκτ-21]]*Table6[[#This Row],[Οκτ-21]]</f>
        <v>9.8371480089020822E-4</v>
      </c>
      <c r="M28" s="107">
        <f>Table684[[#This Row],[Νοε-21]]*Table6[[#This Row],[Νοε-21]]</f>
        <v>-7.2155811788080686E-4</v>
      </c>
      <c r="N28" s="107">
        <f>Table684[[#This Row],[Δεκ-21]]*Table6[[#This Row],[Δεκ-21]]</f>
        <v>1.3811432742420349E-3</v>
      </c>
      <c r="O28" s="126">
        <f>Table684[[#This Row],[Ιαν-22]]*Table6[[#This Row],[Ιαν-22]]</f>
        <v>1.2415206169342152E-3</v>
      </c>
      <c r="P28" s="107">
        <f>Table684[[#This Row],[Φεβ-22]]*Table6[[#This Row],[Φεβ-22]]</f>
        <v>2.1713974080676503E-4</v>
      </c>
      <c r="Q28" s="107">
        <f>Table684[[#This Row],[Μαρ-22]]*Table6[[#This Row],[Μαρ-22]]</f>
        <v>-2.9965308539298011E-4</v>
      </c>
      <c r="R28" s="107">
        <f>Table684[[#This Row],[Απρ-22]]*Table6[[#This Row],[Απρ-22]]</f>
        <v>2.6574069695396276E-3</v>
      </c>
      <c r="S28" s="107">
        <f>Table684[[#This Row],[Μαϊ-22]]*Table6[[#This Row],[Μαϊ-22]]</f>
        <v>6.6430781482912772E-4</v>
      </c>
      <c r="T28" s="126">
        <f>Table684[[#This Row],[Ιουν-22]]*Table6[[#This Row],[Ιουν-22]]</f>
        <v>-8.0659301227573206E-4</v>
      </c>
      <c r="U28" s="107">
        <f>Table684[[#This Row],[Ιουλ-22]]*Table6[[#This Row],[Ιουλ-22]]</f>
        <v>2.4973535139265635E-4</v>
      </c>
      <c r="V28" s="107">
        <f>Table684[[#This Row],[Αυγ-22]]*Table6[[#This Row],[Αυγ-22]]</f>
        <v>-4.0777551649248591E-3</v>
      </c>
      <c r="W28" s="107">
        <f>Table684[[#This Row],[Σεπ-22]]*Table6[[#This Row],[Σεπ-22]]</f>
        <v>-1.0809079630905488E-3</v>
      </c>
      <c r="X28" s="107">
        <f>Table684[[#This Row],[Οκτ-22]]*Table6[[#This Row],[Οκτ-22]]</f>
        <v>2.6940223119464686E-3</v>
      </c>
      <c r="Y28" s="107">
        <f>Table684[[#This Row],[Νοε-22]]*Table6[[#This Row],[Νοε-22]]</f>
        <v>-2.3788436609532268E-4</v>
      </c>
      <c r="Z28" s="107">
        <f>Table684[[#This Row],[Δεκ-22]]*Table6[[#This Row],[Δεκ-22]]</f>
        <v>8.7677521028949013E-4</v>
      </c>
      <c r="AA28" s="126">
        <f>Table684[[#This Row],[Ιαν-23]]*Table6[[#This Row],[Ιαν-23]]</f>
        <v>-5.0082572657643493E-5</v>
      </c>
      <c r="AB28" s="107">
        <f>Table684[[#This Row],[Φεβ-23]]*Table6[[#This Row],[Φεβ-23]]</f>
        <v>-2.0988630974676269E-4</v>
      </c>
      <c r="AC28" s="107">
        <f>Table684[[#This Row],[Μαρ-23]]*Table6[[#This Row],[Μαρ-23]]</f>
        <v>3.0006707130234038E-3</v>
      </c>
      <c r="AD28" s="107">
        <f>Table684[[#This Row],[Απρ-23]]*Table6[[#This Row],[Απρ-23]]</f>
        <v>-6.3332942608067266E-5</v>
      </c>
      <c r="AE28" s="107">
        <f>Table684[[#This Row],[Μαϊ-23]]*Table6[[#This Row],[Μαϊ-23]]</f>
        <v>-4.0475075932151078E-4</v>
      </c>
      <c r="AF28" s="126">
        <f>Table684[[#This Row],[Ιουν-23]]*Table6[[#This Row],[Ιουν-23]]</f>
        <v>9.2257370685132757E-4</v>
      </c>
      <c r="AG28" s="107">
        <f>Table684[[#This Row],[Ιουλ-23]]*Table6[[#This Row],[Ιουλ-23]]</f>
        <v>-2.9883843513194735E-4</v>
      </c>
      <c r="AH28" s="107">
        <f>Table684[[#This Row],[Αυγ-23]]*Table6[[#This Row],[Αυγ-23]]</f>
        <v>4.0985931317529998E-4</v>
      </c>
      <c r="AI28" s="107">
        <f>Table684[[#This Row],[Σεπ-23]]*Table6[[#This Row],[Σεπ-23]]</f>
        <v>7.6406207589182042E-4</v>
      </c>
      <c r="AJ28" s="107">
        <f>Table684[[#This Row],[Οκτ-23]]*Table6[[#This Row],[Οκτ-23]]</f>
        <v>-4.307708558635534E-3</v>
      </c>
      <c r="AK28" s="107">
        <f>Table684[[#This Row],[Νοε-23]]*Table6[[#This Row],[Νοε-23]]</f>
        <v>-6.816262595509249E-5</v>
      </c>
      <c r="AL28" s="107">
        <f>Table684[[#This Row],[Δεκ-23]]*Table6[[#This Row],[Δεκ-23]]</f>
        <v>1.1225003185159849E-3</v>
      </c>
      <c r="AM28" s="126">
        <f>Table684[[#This Row],[Ιαν-24]]*Table6[[#This Row],[Ιαν-24]]</f>
        <v>1.0570058755639494E-3</v>
      </c>
      <c r="AN28" s="107">
        <f>Table684[[#This Row],[Φεβ-24]]*Table6[[#This Row],[Φεβ-24]]</f>
        <v>-1.5794548290931712E-3</v>
      </c>
      <c r="AO28" s="107">
        <f>Table684[[#This Row],[Μαρ-24]]*Table6[[#This Row],[Μαρ-24]]</f>
        <v>8.5593661053924499E-4</v>
      </c>
      <c r="AP28" s="107">
        <f>Table684[[#This Row],[Απρ-24]]*Table6[[#This Row],[Απρ-24]]</f>
        <v>5.6048282998348467E-4</v>
      </c>
      <c r="AQ28" s="107">
        <f>Table684[[#This Row],[Μαϊ-24]]*Table6[[#This Row],[Μαϊ-24]]</f>
        <v>1.0854662052914035E-4</v>
      </c>
      <c r="AR28" s="126">
        <f>Table684[[#This Row],[Ιουν-24]]*Table6[[#This Row],[Ιουν-24]]</f>
        <v>5.2718497534361575E-5</v>
      </c>
      <c r="AS28" s="107">
        <f>Table684[[#This Row],[Ιουλ-24]]*Table6[[#This Row],[Ιουλ-24]]</f>
        <v>1.6006651731539502E-3</v>
      </c>
      <c r="AT28" s="107">
        <f>Table684[[#This Row],[Αυγ-24]]*Table6[[#This Row],[Αυγ-24]]</f>
        <v>1.6971721940002506E-3</v>
      </c>
      <c r="AU28" s="107">
        <f>Table684[[#This Row],[Σεπ-24]]*Table6[[#This Row],[Σεπ-24]]</f>
        <v>4.7840393100111677E-4</v>
      </c>
      <c r="AV28" s="107">
        <f>Table684[[#This Row],[Οκτ-24]]*Table6[[#This Row],[Οκτ-24]]</f>
        <v>-1.6303345471584791E-3</v>
      </c>
      <c r="AW28" s="107">
        <f>Table684[[#This Row],[Νοε-24]]*Table6[[#This Row],[Νοε-24]]</f>
        <v>-1.4450427533083472E-3</v>
      </c>
      <c r="AX28" s="107">
        <f>Table684[[#This Row],[Δεκ-24]]*Table6[[#This Row],[Δεκ-24]]</f>
        <v>4.6596636079059077E-4</v>
      </c>
      <c r="AY28" s="126">
        <f>Table684[[#This Row],[Ιαν-25]]*Table6[[#This Row],[Ιαν-25]]</f>
        <v>2.9970465848284554E-3</v>
      </c>
      <c r="AZ28" s="107">
        <f>Table684[[#This Row],[Φεβ-25]]*Table6[[#This Row],[Φεβ-25]]</f>
        <v>-1.0910257080477143E-5</v>
      </c>
      <c r="BA28" s="107">
        <f>Table684[[#This Row],[Μαρ-25]]*Table6[[#This Row],[Μαρ-25]]</f>
        <v>-6.0752584885302718E-4</v>
      </c>
      <c r="BB28" s="107">
        <f>Table684[[#This Row],[Απρ-25]]*Table6[[#This Row],[Απρ-25]]</f>
        <v>-1.5329691241149173E-3</v>
      </c>
      <c r="BC28" s="107">
        <f>Table684[[#This Row],[Μαϊ-25]]*Table6[[#This Row],[Μαϊ-25]]</f>
        <v>-1.1432152963232823E-3</v>
      </c>
      <c r="BD28" s="126">
        <f>Table684[[#This Row],[Ιουν-25]]*Table6[[#This Row],[Ιουν-25]]</f>
        <v>-1.6000064001678736E-3</v>
      </c>
      <c r="BE28" s="107"/>
      <c r="BF28" s="153" cm="1">
        <f t="array" ref="BF28">PRODUCT(1+Table68[[#This Row],[Ιαν-21]:[Ιουν-25]])-1</f>
        <v>7.350639815514981E-3</v>
      </c>
      <c r="BG28" s="112" t="s">
        <v>59</v>
      </c>
      <c r="BH28" s="112" t="str">
        <f>IF(Table68[[#This Row],[Cumulative Return ]]&lt;0,"Negative", IF(Table68[[#This Row],[Cumulative Return ]]&lt;0.025,"Positive","High Positive"))</f>
        <v>Positive</v>
      </c>
      <c r="BI28" s="113">
        <f>SLOPE(C28:BD28,$C$54:$BD$54)</f>
        <v>1.6691001268357517E-2</v>
      </c>
      <c r="BJ28" s="113"/>
      <c r="BK28" s="157"/>
      <c r="BM28" s="106" t="s">
        <v>95</v>
      </c>
      <c r="BN28" s="107">
        <v>1.3585860987140208E-2</v>
      </c>
    </row>
    <row r="29" spans="1:84">
      <c r="A29" s="110" t="s">
        <v>195</v>
      </c>
      <c r="B29" s="110" t="s">
        <v>196</v>
      </c>
      <c r="C29" s="126">
        <f>Table684[[#This Row],[Ιαν-21]]*Table6[[#This Row],[Ιαν-21]]</f>
        <v>3.9375826251180366E-4</v>
      </c>
      <c r="D29" s="107">
        <f>Table684[[#This Row],[Φεβ-21]]*Table6[[#This Row],[Φεβ-21]]</f>
        <v>-1.5390820947953398E-3</v>
      </c>
      <c r="E29" s="107">
        <f>Table684[[#This Row],[Μαρ-21]]*Table6[[#This Row],[Μαρ-21]]</f>
        <v>1.5602080327585801E-3</v>
      </c>
      <c r="F29" s="107">
        <f>Table684[[#This Row],[Απρ-21]]*Table6[[#This Row],[Απρ-21]]</f>
        <v>2.9307546974334579E-4</v>
      </c>
      <c r="G29" s="107">
        <f>Table684[[#This Row],[Μαϊ-21]]*Table6[[#This Row],[Μαϊ-21]]</f>
        <v>4.7622533719795059E-4</v>
      </c>
      <c r="H29" s="126">
        <f>Table684[[#This Row],[Ιουν-21]]*Table6[[#This Row],[Ιουν-21]]</f>
        <v>9.7412370160528821E-4</v>
      </c>
      <c r="I29" s="107">
        <f>Table684[[#This Row],[Ιουλ-21]]*Table6[[#This Row],[Ιουλ-21]]</f>
        <v>9.2641370805498675E-5</v>
      </c>
      <c r="J29" s="107">
        <f>Table684[[#This Row],[Αυγ-21]]*Table6[[#This Row],[Αυγ-21]]</f>
        <v>6.6646699472944931E-4</v>
      </c>
      <c r="K29" s="107">
        <f>Table684[[#This Row],[Σεπ-21]]*Table6[[#This Row],[Σεπ-21]]</f>
        <v>-7.3462355450858055E-4</v>
      </c>
      <c r="L29" s="107">
        <f>Table684[[#This Row],[Οκτ-21]]*Table6[[#This Row],[Οκτ-21]]</f>
        <v>1.6630956389201684E-3</v>
      </c>
      <c r="M29" s="107">
        <f>Table684[[#This Row],[Νοε-21]]*Table6[[#This Row],[Νοε-21]]</f>
        <v>2.3336703408425235E-4</v>
      </c>
      <c r="N29" s="107">
        <f>Table684[[#This Row],[Δεκ-21]]*Table6[[#This Row],[Δεκ-21]]</f>
        <v>1.3168458739301367E-3</v>
      </c>
      <c r="O29" s="126">
        <f>Table684[[#This Row],[Ιαν-22]]*Table6[[#This Row],[Ιαν-22]]</f>
        <v>5.2044570349386225E-4</v>
      </c>
      <c r="P29" s="107">
        <f>Table684[[#This Row],[Φεβ-22]]*Table6[[#This Row],[Φεβ-22]]</f>
        <v>-8.4513254785628796E-4</v>
      </c>
      <c r="Q29" s="107">
        <f>Table684[[#This Row],[Μαρ-22]]*Table6[[#This Row],[Μαρ-22]]</f>
        <v>1.0087198274396534E-3</v>
      </c>
      <c r="R29" s="107">
        <f>Table684[[#This Row],[Απρ-22]]*Table6[[#This Row],[Απρ-22]]</f>
        <v>1.7772584200727022E-3</v>
      </c>
      <c r="S29" s="107">
        <f>Table684[[#This Row],[Μαϊ-22]]*Table6[[#This Row],[Μαϊ-22]]</f>
        <v>-8.2627494078943149E-4</v>
      </c>
      <c r="T29" s="126">
        <f>Table684[[#This Row],[Ιουν-22]]*Table6[[#This Row],[Ιουν-22]]</f>
        <v>1.1299150141643062E-4</v>
      </c>
      <c r="U29" s="107">
        <f>Table684[[#This Row],[Ιουλ-22]]*Table6[[#This Row],[Ιουλ-22]]</f>
        <v>-1.1789646659739037E-4</v>
      </c>
      <c r="V29" s="107">
        <f>Table684[[#This Row],[Αυγ-22]]*Table6[[#This Row],[Αυγ-22]]</f>
        <v>-3.8085358333113683E-3</v>
      </c>
      <c r="W29" s="107">
        <f>Table684[[#This Row],[Σεπ-22]]*Table6[[#This Row],[Σεπ-22]]</f>
        <v>-9.9977305674214074E-4</v>
      </c>
      <c r="X29" s="107">
        <f>Table684[[#This Row],[Οκτ-22]]*Table6[[#This Row],[Οκτ-22]]</f>
        <v>1.6515924690235983E-3</v>
      </c>
      <c r="Y29" s="107">
        <f>Table684[[#This Row],[Νοε-22]]*Table6[[#This Row],[Νοε-22]]</f>
        <v>-1.0616289093418764E-4</v>
      </c>
      <c r="Z29" s="107">
        <f>Table684[[#This Row],[Δεκ-22]]*Table6[[#This Row],[Δεκ-22]]</f>
        <v>-4.2115447282949474E-5</v>
      </c>
      <c r="AA29" s="126">
        <f>Table684[[#This Row],[Ιαν-23]]*Table6[[#This Row],[Ιαν-23]]</f>
        <v>-9.4159584513692186E-5</v>
      </c>
      <c r="AB29" s="107">
        <f>Table684[[#This Row],[Φεβ-23]]*Table6[[#This Row],[Φεβ-23]]</f>
        <v>2.5760147797506837E-4</v>
      </c>
      <c r="AC29" s="107">
        <f>Table684[[#This Row],[Μαρ-23]]*Table6[[#This Row],[Μαρ-23]]</f>
        <v>-2.650807480532784E-5</v>
      </c>
      <c r="AD29" s="107">
        <f>Table684[[#This Row],[Απρ-23]]*Table6[[#This Row],[Απρ-23]]</f>
        <v>1.8447380305066971E-4</v>
      </c>
      <c r="AE29" s="107">
        <f>Table684[[#This Row],[Μαϊ-23]]*Table6[[#This Row],[Μαϊ-23]]</f>
        <v>-5.5409940043073659E-4</v>
      </c>
      <c r="AF29" s="126">
        <f>Table684[[#This Row],[Ιουν-23]]*Table6[[#This Row],[Ιουν-23]]</f>
        <v>5.4270160528800768E-4</v>
      </c>
      <c r="AG29" s="107">
        <f>Table684[[#This Row],[Ιουλ-23]]*Table6[[#This Row],[Ιουλ-23]]</f>
        <v>0</v>
      </c>
      <c r="AH29" s="107">
        <f>Table684[[#This Row],[Αυγ-23]]*Table6[[#This Row],[Αυγ-23]]</f>
        <v>2.2644667886165344E-4</v>
      </c>
      <c r="AI29" s="107">
        <f>Table684[[#This Row],[Σεπ-23]]*Table6[[#This Row],[Σεπ-23]]</f>
        <v>1.0588264299297863E-3</v>
      </c>
      <c r="AJ29" s="107">
        <f>Table684[[#This Row],[Οκτ-23]]*Table6[[#This Row],[Οκτ-23]]</f>
        <v>-5.1510737465974257E-4</v>
      </c>
      <c r="AK29" s="107">
        <f>Table684[[#This Row],[Νοε-23]]*Table6[[#This Row],[Νοε-23]]</f>
        <v>-1.4163402829323987E-4</v>
      </c>
      <c r="AL29" s="107">
        <f>Table684[[#This Row],[Δεκ-23]]*Table6[[#This Row],[Δεκ-23]]</f>
        <v>2.9290967497454967E-4</v>
      </c>
      <c r="AM29" s="126">
        <f>Table684[[#This Row],[Ιαν-24]]*Table6[[#This Row],[Ιαν-24]]</f>
        <v>1.6897365439093488E-3</v>
      </c>
      <c r="AN29" s="107">
        <f>Table684[[#This Row],[Φεβ-24]]*Table6[[#This Row],[Φεβ-24]]</f>
        <v>1.2648485844152315E-3</v>
      </c>
      <c r="AO29" s="107">
        <f>Table684[[#This Row],[Μαρ-24]]*Table6[[#This Row],[Μαρ-24]]</f>
        <v>5.2323798823062035E-4</v>
      </c>
      <c r="AP29" s="107">
        <f>Table684[[#This Row],[Απρ-24]]*Table6[[#This Row],[Απρ-24]]</f>
        <v>-3.6072963708780738E-4</v>
      </c>
      <c r="AQ29" s="107">
        <f>Table684[[#This Row],[Μαϊ-24]]*Table6[[#This Row],[Μαϊ-24]]</f>
        <v>1.2225098470800924E-3</v>
      </c>
      <c r="AR29" s="126">
        <f>Table684[[#This Row],[Ιουν-24]]*Table6[[#This Row],[Ιουν-24]]</f>
        <v>-2.2187422096317283E-3</v>
      </c>
      <c r="AS29" s="107">
        <f>Table684[[#This Row],[Ιουλ-24]]*Table6[[#This Row],[Ιουλ-24]]</f>
        <v>-7.2366053143024843E-5</v>
      </c>
      <c r="AT29" s="107">
        <f>Table684[[#This Row],[Αυγ-24]]*Table6[[#This Row],[Αυγ-24]]</f>
        <v>1.5456338020934891E-3</v>
      </c>
      <c r="AU29" s="107">
        <f>Table684[[#This Row],[Σεπ-24]]*Table6[[#This Row],[Σεπ-24]]</f>
        <v>-1.1518868804972374E-3</v>
      </c>
      <c r="AV29" s="107">
        <f>Table684[[#This Row],[Οκτ-24]]*Table6[[#This Row],[Οκτ-24]]</f>
        <v>-1.3938123209440111E-3</v>
      </c>
      <c r="AW29" s="107">
        <f>Table684[[#This Row],[Νοε-24]]*Table6[[#This Row],[Νοε-24]]</f>
        <v>-1.9128508063887237E-4</v>
      </c>
      <c r="AX29" s="107">
        <f>Table684[[#This Row],[Δεκ-24]]*Table6[[#This Row],[Δεκ-24]]</f>
        <v>1.7476400809324634E-4</v>
      </c>
      <c r="AY29" s="126">
        <f>Table684[[#This Row],[Ιαν-25]]*Table6[[#This Row],[Ιαν-25]]</f>
        <v>5.3071765816808318E-4</v>
      </c>
      <c r="AZ29" s="107">
        <f>Table684[[#This Row],[Φεβ-25]]*Table6[[#This Row],[Φεβ-25]]</f>
        <v>1.1381348558924347E-3</v>
      </c>
      <c r="BA29" s="107">
        <f>Table684[[#This Row],[Μαρ-25]]*Table6[[#This Row],[Μαρ-25]]</f>
        <v>-2.8724372068268905E-4</v>
      </c>
      <c r="BB29" s="107">
        <f>Table684[[#This Row],[Απρ-25]]*Table6[[#This Row],[Απρ-25]]</f>
        <v>-1.679065150529862E-5</v>
      </c>
      <c r="BC29" s="107">
        <f>Table684[[#This Row],[Μαϊ-25]]*Table6[[#This Row],[Μαϊ-25]]</f>
        <v>6.209240772287693E-4</v>
      </c>
      <c r="BD29" s="126">
        <f>Table684[[#This Row],[Ιουν-25]]*Table6[[#This Row],[Ιουν-25]]</f>
        <v>-1.5972889518413602E-3</v>
      </c>
      <c r="BE29" s="107"/>
      <c r="BF29" s="153" cm="1">
        <f t="array" ref="BF29">PRODUCT(1+Table68[[#This Row],[Ιαν-21]:[Ιουν-25]])-1</f>
        <v>6.3633074480284879E-3</v>
      </c>
      <c r="BG29" s="112" t="s">
        <v>59</v>
      </c>
      <c r="BH29" s="112" t="str">
        <f>IF(Table68[[#This Row],[Cumulative Return ]]&lt;0,"Negative", IF(Table68[[#This Row],[Cumulative Return ]]&lt;0.025,"Positive","High Positive"))</f>
        <v>Positive</v>
      </c>
      <c r="BI29" s="113">
        <f>SLOPE(C29:BD29,$C$54:$BD$54)</f>
        <v>1.2899233402177824E-2</v>
      </c>
      <c r="BJ29" s="113"/>
      <c r="BK29" s="157"/>
      <c r="BM29" s="106" t="s">
        <v>216</v>
      </c>
      <c r="BN29" s="107">
        <v>1.399191970841418E-2</v>
      </c>
    </row>
    <row r="30" spans="1:84">
      <c r="A30" s="110" t="s">
        <v>50</v>
      </c>
      <c r="B30" s="110" t="s">
        <v>51</v>
      </c>
      <c r="C30" s="126">
        <f>Table684[[#This Row],[Ιαν-21]]*Table6[[#This Row],[Ιαν-21]]</f>
        <v>-1.5927912723765899E-3</v>
      </c>
      <c r="D30" s="107">
        <f>Table684[[#This Row],[Φεβ-21]]*Table6[[#This Row],[Φεβ-21]]</f>
        <v>-2.8561169035190418E-3</v>
      </c>
      <c r="E30" s="107">
        <f>Table684[[#This Row],[Μαρ-21]]*Table6[[#This Row],[Μαρ-21]]</f>
        <v>3.8848957161455285E-3</v>
      </c>
      <c r="F30" s="107">
        <f>Table684[[#This Row],[Απρ-21]]*Table6[[#This Row],[Απρ-21]]</f>
        <v>2.7406423188469789E-3</v>
      </c>
      <c r="G30" s="107">
        <f>Table684[[#This Row],[Μαϊ-21]]*Table6[[#This Row],[Μαϊ-21]]</f>
        <v>6.545520975770547E-4</v>
      </c>
      <c r="H30" s="126">
        <f>Table684[[#This Row],[Ιουν-21]]*Table6[[#This Row],[Ιουν-21]]</f>
        <v>1.8963896088240611E-3</v>
      </c>
      <c r="I30" s="107">
        <f>Table684[[#This Row],[Ιουλ-21]]*Table6[[#This Row],[Ιουλ-21]]</f>
        <v>7.5015363379609768E-4</v>
      </c>
      <c r="J30" s="107">
        <f>Table684[[#This Row],[Αυγ-21]]*Table6[[#This Row],[Αυγ-21]]</f>
        <v>9.0699609667521796E-5</v>
      </c>
      <c r="K30" s="107">
        <f>Table684[[#This Row],[Σεπ-21]]*Table6[[#This Row],[Σεπ-21]]</f>
        <v>-1.1422910230819629E-3</v>
      </c>
      <c r="L30" s="107">
        <f>Table684[[#This Row],[Οκτ-21]]*Table6[[#This Row],[Οκτ-21]]</f>
        <v>4.2073692175223958E-3</v>
      </c>
      <c r="M30" s="107">
        <f>Table684[[#This Row],[Νοε-21]]*Table6[[#This Row],[Νοε-21]]</f>
        <v>-3.4235339704206057E-4</v>
      </c>
      <c r="N30" s="107">
        <f>Table684[[#This Row],[Δεκ-21]]*Table6[[#This Row],[Δεκ-21]]</f>
        <v>4.138514904350233E-3</v>
      </c>
      <c r="O30" s="126">
        <f>Table684[[#This Row],[Ιαν-22]]*Table6[[#This Row],[Ιαν-22]]</f>
        <v>-3.2295823036586103E-3</v>
      </c>
      <c r="P30" s="107">
        <f>Table684[[#This Row],[Φεβ-22]]*Table6[[#This Row],[Φεβ-22]]</f>
        <v>7.9775189885517332E-4</v>
      </c>
      <c r="Q30" s="107">
        <f>Table684[[#This Row],[Μαρ-22]]*Table6[[#This Row],[Μαρ-22]]</f>
        <v>4.7380507317077098E-4</v>
      </c>
      <c r="R30" s="107">
        <f>Table684[[#This Row],[Απρ-22]]*Table6[[#This Row],[Απρ-22]]</f>
        <v>2.9691962288715679E-3</v>
      </c>
      <c r="S30" s="107">
        <f>Table684[[#This Row],[Μαϊ-22]]*Table6[[#This Row],[Μαϊ-22]]</f>
        <v>-3.3981854950809686E-3</v>
      </c>
      <c r="T30" s="126">
        <f>Table684[[#This Row],[Ιουν-22]]*Table6[[#This Row],[Ιουν-22]]</f>
        <v>-8.8439515399915615E-4</v>
      </c>
      <c r="U30" s="107">
        <f>Table684[[#This Row],[Ιουλ-22]]*Table6[[#This Row],[Ιουλ-22]]</f>
        <v>3.5536553054753969E-3</v>
      </c>
      <c r="V30" s="107">
        <f>Table684[[#This Row],[Αυγ-22]]*Table6[[#This Row],[Αυγ-22]]</f>
        <v>-1.2101204184442563E-3</v>
      </c>
      <c r="W30" s="107">
        <f>Table684[[#This Row],[Σεπ-22]]*Table6[[#This Row],[Σεπ-22]]</f>
        <v>-2.3684460984203016E-3</v>
      </c>
      <c r="X30" s="107">
        <f>Table684[[#This Row],[Οκτ-22]]*Table6[[#This Row],[Οκτ-22]]</f>
        <v>-4.4028216918383628E-4</v>
      </c>
      <c r="Y30" s="107">
        <f>Table684[[#This Row],[Νοε-22]]*Table6[[#This Row],[Νοε-22]]</f>
        <v>1.759937917082512E-3</v>
      </c>
      <c r="Z30" s="107">
        <f>Table684[[#This Row],[Δεκ-22]]*Table6[[#This Row],[Δεκ-22]]</f>
        <v>-2.2714150907291106E-3</v>
      </c>
      <c r="AA30" s="126">
        <f>Table684[[#This Row],[Ιαν-23]]*Table6[[#This Row],[Ιαν-23]]</f>
        <v>1.3507925983967212E-3</v>
      </c>
      <c r="AB30" s="107">
        <f>Table684[[#This Row],[Φεβ-23]]*Table6[[#This Row],[Φεβ-23]]</f>
        <v>-1.9046089711265213E-3</v>
      </c>
      <c r="AC30" s="107">
        <f>Table684[[#This Row],[Μαρ-23]]*Table6[[#This Row],[Μαρ-23]]</f>
        <v>2.0157087444615629E-3</v>
      </c>
      <c r="AD30" s="107">
        <f>Table684[[#This Row],[Απρ-23]]*Table6[[#This Row],[Απρ-23]]</f>
        <v>2.6011532835418451E-3</v>
      </c>
      <c r="AE30" s="107">
        <f>Table684[[#This Row],[Μαϊ-23]]*Table6[[#This Row],[Μαϊ-23]]</f>
        <v>-1.9654153557474604E-3</v>
      </c>
      <c r="AF30" s="126">
        <f>Table684[[#This Row],[Ιουν-23]]*Table6[[#This Row],[Ιουν-23]]</f>
        <v>-3.1239828822855764E-4</v>
      </c>
      <c r="AG30" s="107">
        <f>Table684[[#This Row],[Ιουλ-23]]*Table6[[#This Row],[Ιουλ-23]]</f>
        <v>5.8441253887459466E-4</v>
      </c>
      <c r="AH30" s="107">
        <f>Table684[[#This Row],[Αυγ-23]]*Table6[[#This Row],[Αυγ-23]]</f>
        <v>-1.8507070672962056E-4</v>
      </c>
      <c r="AI30" s="107">
        <f>Table684[[#This Row],[Σεπ-23]]*Table6[[#This Row],[Σεπ-23]]</f>
        <v>-1.5153950733326699E-3</v>
      </c>
      <c r="AJ30" s="107">
        <f>Table684[[#This Row],[Οκτ-23]]*Table6[[#This Row],[Οκτ-23]]</f>
        <v>-2.0643128057216973E-3</v>
      </c>
      <c r="AK30" s="107">
        <f>Table684[[#This Row],[Νοε-23]]*Table6[[#This Row],[Νοε-23]]</f>
        <v>9.465739715735468E-4</v>
      </c>
      <c r="AL30" s="107">
        <f>Table684[[#This Row],[Δεκ-23]]*Table6[[#This Row],[Δεκ-23]]</f>
        <v>2.7596788133589289E-4</v>
      </c>
      <c r="AM30" s="126">
        <f>Table684[[#This Row],[Ιαν-24]]*Table6[[#This Row],[Ιαν-24]]</f>
        <v>2.6839852932312698E-4</v>
      </c>
      <c r="AN30" s="107">
        <f>Table684[[#This Row],[Φεβ-24]]*Table6[[#This Row],[Φεβ-24]]</f>
        <v>-3.9298924481361861E-3</v>
      </c>
      <c r="AO30" s="107">
        <f>Table684[[#This Row],[Μαρ-24]]*Table6[[#This Row],[Μαρ-24]]</f>
        <v>9.0692598014803017E-4</v>
      </c>
      <c r="AP30" s="107">
        <f>Table684[[#This Row],[Απρ-24]]*Table6[[#This Row],[Απρ-24]]</f>
        <v>-4.7522359912693593E-4</v>
      </c>
      <c r="AQ30" s="107">
        <f>Table684[[#This Row],[Μαϊ-24]]*Table6[[#This Row],[Μαϊ-24]]</f>
        <v>1.3480732927329978E-3</v>
      </c>
      <c r="AR30" s="126">
        <f>Table684[[#This Row],[Ιουν-24]]*Table6[[#This Row],[Ιουν-24]]</f>
        <v>-1.0251943824965343E-3</v>
      </c>
      <c r="AS30" s="107">
        <f>Table684[[#This Row],[Ιουλ-24]]*Table6[[#This Row],[Ιουλ-24]]</f>
        <v>-7.30455375252144E-4</v>
      </c>
      <c r="AT30" s="107">
        <f>Table684[[#This Row],[Αυγ-24]]*Table6[[#This Row],[Αυγ-24]]</f>
        <v>1.4014022434617535E-3</v>
      </c>
      <c r="AU30" s="107">
        <f>Table684[[#This Row],[Σεπ-24]]*Table6[[#This Row],[Σεπ-24]]</f>
        <v>-2.8416890279877203E-3</v>
      </c>
      <c r="AV30" s="107">
        <f>Table684[[#This Row],[Οκτ-24]]*Table6[[#This Row],[Οκτ-24]]</f>
        <v>-1.4903215735992774E-3</v>
      </c>
      <c r="AW30" s="107">
        <f>Table684[[#This Row],[Νοε-24]]*Table6[[#This Row],[Νοε-24]]</f>
        <v>-2.060931444236384E-3</v>
      </c>
      <c r="AX30" s="107">
        <f>Table684[[#This Row],[Δεκ-24]]*Table6[[#This Row],[Δεκ-24]]</f>
        <v>-1.1021538181498326E-3</v>
      </c>
      <c r="AY30" s="126">
        <f>Table684[[#This Row],[Ιαν-25]]*Table6[[#This Row],[Ιαν-25]]</f>
        <v>1.2671930564764028E-3</v>
      </c>
      <c r="AZ30" s="107">
        <f>Table684[[#This Row],[Φεβ-25]]*Table6[[#This Row],[Φεβ-25]]</f>
        <v>5.6568841016641277E-3</v>
      </c>
      <c r="BA30" s="107">
        <f>Table684[[#This Row],[Μαρ-25]]*Table6[[#This Row],[Μαρ-25]]</f>
        <v>2.5444574175627864E-4</v>
      </c>
      <c r="BB30" s="107">
        <f>Table684[[#This Row],[Απρ-25]]*Table6[[#This Row],[Απρ-25]]</f>
        <v>1.9538400610425205E-3</v>
      </c>
      <c r="BC30" s="107">
        <f>Table684[[#This Row],[Μαϊ-25]]*Table6[[#This Row],[Μαϊ-25]]</f>
        <v>9.6654863030474474E-6</v>
      </c>
      <c r="BD30" s="126">
        <f>Table684[[#This Row],[Ιουν-25]]*Table6[[#This Row],[Ιουν-25]]</f>
        <v>-4.4923753842444694E-3</v>
      </c>
      <c r="BE30" s="107"/>
      <c r="BF30" s="153" cm="1">
        <f t="array" ref="BF30">PRODUCT(1+Table68[[#This Row],[Ιαν-21]:[Ιουν-25]])-1</f>
        <v>2.802444856123687E-3</v>
      </c>
      <c r="BG30" s="112" t="s">
        <v>52</v>
      </c>
      <c r="BH30" s="112" t="str">
        <f>IF(Table68[[#This Row],[Cumulative Return ]]&lt;0,"Negative", IF(Table68[[#This Row],[Cumulative Return ]]&lt;0.025,"Positive","High Positive"))</f>
        <v>Positive</v>
      </c>
      <c r="BI30" s="113">
        <f>SLOPE(C30:BD30,$C$54:$BD$54)</f>
        <v>3.192717143108427E-2</v>
      </c>
      <c r="BJ30" s="113"/>
      <c r="BK30" s="157"/>
      <c r="BM30" s="106" t="s">
        <v>176</v>
      </c>
      <c r="BN30" s="107">
        <v>1.4508874479721934E-2</v>
      </c>
    </row>
    <row r="31" spans="1:84">
      <c r="A31" s="110" t="s">
        <v>117</v>
      </c>
      <c r="B31" s="110" t="s">
        <v>118</v>
      </c>
      <c r="C31" s="126">
        <f>Table684[[#This Row],[Ιαν-21]]*Table6[[#This Row],[Ιαν-21]]</f>
        <v>-5.945191167902275E-4</v>
      </c>
      <c r="D31" s="107">
        <f>Table684[[#This Row],[Φεβ-21]]*Table6[[#This Row],[Φεβ-21]]</f>
        <v>-2.3059862655553614E-3</v>
      </c>
      <c r="E31" s="107">
        <f>Table684[[#This Row],[Μαρ-21]]*Table6[[#This Row],[Μαρ-21]]</f>
        <v>2.318940520663997E-3</v>
      </c>
      <c r="F31" s="107">
        <f>Table684[[#This Row],[Απρ-21]]*Table6[[#This Row],[Απρ-21]]</f>
        <v>4.8970655829446309E-4</v>
      </c>
      <c r="G31" s="107">
        <f>Table684[[#This Row],[Μαϊ-21]]*Table6[[#This Row],[Μαϊ-21]]</f>
        <v>4.4608987651599373E-4</v>
      </c>
      <c r="H31" s="126">
        <f>Table684[[#This Row],[Ιουν-21]]*Table6[[#This Row],[Ιουν-21]]</f>
        <v>4.8480099652421985E-5</v>
      </c>
      <c r="I31" s="107">
        <f>Table684[[#This Row],[Ιουλ-21]]*Table6[[#This Row],[Ιουλ-21]]</f>
        <v>-3.1715437871550779E-4</v>
      </c>
      <c r="J31" s="107">
        <f>Table684[[#This Row],[Αυγ-21]]*Table6[[#This Row],[Αυγ-21]]</f>
        <v>-5.5447876223695342E-4</v>
      </c>
      <c r="K31" s="107">
        <f>Table684[[#This Row],[Σεπ-21]]*Table6[[#This Row],[Σεπ-21]]</f>
        <v>-2.6402264001290079E-4</v>
      </c>
      <c r="L31" s="107">
        <f>Table684[[#This Row],[Οκτ-21]]*Table6[[#This Row],[Οκτ-21]]</f>
        <v>-1.2058963414451449E-4</v>
      </c>
      <c r="M31" s="107">
        <f>Table684[[#This Row],[Νοε-21]]*Table6[[#This Row],[Νοε-21]]</f>
        <v>-3.3309879172181147E-4</v>
      </c>
      <c r="N31" s="107">
        <f>Table684[[#This Row],[Δεκ-21]]*Table6[[#This Row],[Δεκ-21]]</f>
        <v>8.3993671935684298E-4</v>
      </c>
      <c r="O31" s="126">
        <f>Table684[[#This Row],[Ιαν-22]]*Table6[[#This Row],[Ιαν-22]]</f>
        <v>-8.369196150523375E-4</v>
      </c>
      <c r="P31" s="107">
        <f>Table684[[#This Row],[Φεβ-22]]*Table6[[#This Row],[Φεβ-22]]</f>
        <v>-8.9609120650251144E-5</v>
      </c>
      <c r="Q31" s="107">
        <f>Table684[[#This Row],[Μαρ-22]]*Table6[[#This Row],[Μαρ-22]]</f>
        <v>-2.1886456653511794E-3</v>
      </c>
      <c r="R31" s="107">
        <f>Table684[[#This Row],[Απρ-22]]*Table6[[#This Row],[Απρ-22]]</f>
        <v>1.9120834914546239E-3</v>
      </c>
      <c r="S31" s="107">
        <f>Table684[[#This Row],[Μαϊ-22]]*Table6[[#This Row],[Μαϊ-22]]</f>
        <v>6.0946084873170973E-4</v>
      </c>
      <c r="T31" s="126">
        <f>Table684[[#This Row],[Ιουν-22]]*Table6[[#This Row],[Ιουν-22]]</f>
        <v>-9.9511783497076701E-4</v>
      </c>
      <c r="U31" s="107">
        <f>Table684[[#This Row],[Ιουλ-22]]*Table6[[#This Row],[Ιουλ-22]]</f>
        <v>2.8065667212269891E-3</v>
      </c>
      <c r="V31" s="107">
        <f>Table684[[#This Row],[Αυγ-22]]*Table6[[#This Row],[Αυγ-22]]</f>
        <v>-1.1452155832581729E-3</v>
      </c>
      <c r="W31" s="107">
        <f>Table684[[#This Row],[Σεπ-22]]*Table6[[#This Row],[Σεπ-22]]</f>
        <v>-1.6528327918075716E-4</v>
      </c>
      <c r="X31" s="107">
        <f>Table684[[#This Row],[Οκτ-22]]*Table6[[#This Row],[Οκτ-22]]</f>
        <v>6.376243904711728E-4</v>
      </c>
      <c r="Y31" s="107">
        <f>Table684[[#This Row],[Νοε-22]]*Table6[[#This Row],[Νοε-22]]</f>
        <v>1.4084116729864947E-3</v>
      </c>
      <c r="Z31" s="107">
        <f>Table684[[#This Row],[Δεκ-22]]*Table6[[#This Row],[Δεκ-22]]</f>
        <v>-4.222437266221401E-4</v>
      </c>
      <c r="AA31" s="126">
        <f>Table684[[#This Row],[Ιαν-23]]*Table6[[#This Row],[Ιαν-23]]</f>
        <v>-3.3680911337472116E-4</v>
      </c>
      <c r="AB31" s="107">
        <f>Table684[[#This Row],[Φεβ-23]]*Table6[[#This Row],[Φεβ-23]]</f>
        <v>4.9640400692133892E-4</v>
      </c>
      <c r="AC31" s="107">
        <f>Table684[[#This Row],[Μαρ-23]]*Table6[[#This Row],[Μαρ-23]]</f>
        <v>2.0392728559895772E-4</v>
      </c>
      <c r="AD31" s="107">
        <f>Table684[[#This Row],[Απρ-23]]*Table6[[#This Row],[Απρ-23]]</f>
        <v>1.4550407614761357E-3</v>
      </c>
      <c r="AE31" s="107">
        <f>Table684[[#This Row],[Μαϊ-23]]*Table6[[#This Row],[Μαϊ-23]]</f>
        <v>-1.5453072024993206E-3</v>
      </c>
      <c r="AF31" s="126">
        <f>Table684[[#This Row],[Ιουν-23]]*Table6[[#This Row],[Ιουν-23]]</f>
        <v>4.3887248106403061E-4</v>
      </c>
      <c r="AG31" s="107">
        <f>Table684[[#This Row],[Ιουλ-23]]*Table6[[#This Row],[Ιουλ-23]]</f>
        <v>6.5162936931062758E-4</v>
      </c>
      <c r="AH31" s="107">
        <f>Table684[[#This Row],[Αυγ-23]]*Table6[[#This Row],[Αυγ-23]]</f>
        <v>-6.7769298601343944E-4</v>
      </c>
      <c r="AI31" s="107">
        <f>Table684[[#This Row],[Σεπ-23]]*Table6[[#This Row],[Σεπ-23]]</f>
        <v>-1.8563490488353616E-4</v>
      </c>
      <c r="AJ31" s="107">
        <f>Table684[[#This Row],[Οκτ-23]]*Table6[[#This Row],[Οκτ-23]]</f>
        <v>-1.1852878743013617E-3</v>
      </c>
      <c r="AK31" s="107">
        <f>Table684[[#This Row],[Νοε-23]]*Table6[[#This Row],[Νοε-23]]</f>
        <v>-3.2082791303010571E-4</v>
      </c>
      <c r="AL31" s="107">
        <f>Table684[[#This Row],[Δεκ-23]]*Table6[[#This Row],[Δεκ-23]]</f>
        <v>7.961287430747666E-5</v>
      </c>
      <c r="AM31" s="126">
        <f>Table684[[#This Row],[Ιαν-24]]*Table6[[#This Row],[Ιαν-24]]</f>
        <v>7.3230466317079522E-4</v>
      </c>
      <c r="AN31" s="107">
        <f>Table684[[#This Row],[Φεβ-24]]*Table6[[#This Row],[Φεβ-24]]</f>
        <v>2.8127207009691054E-4</v>
      </c>
      <c r="AO31" s="107">
        <f>Table684[[#This Row],[Μαρ-24]]*Table6[[#This Row],[Μαρ-24]]</f>
        <v>7.3372562152668826E-4</v>
      </c>
      <c r="AP31" s="107">
        <f>Table684[[#This Row],[Απρ-24]]*Table6[[#This Row],[Απρ-24]]</f>
        <v>1.0549876978278943E-3</v>
      </c>
      <c r="AQ31" s="107">
        <f>Table684[[#This Row],[Μαϊ-24]]*Table6[[#This Row],[Μαϊ-24]]</f>
        <v>1.1463622962288227E-3</v>
      </c>
      <c r="AR31" s="126">
        <f>Table684[[#This Row],[Ιουν-24]]*Table6[[#This Row],[Ιουν-24]]</f>
        <v>5.2817792779217632E-4</v>
      </c>
      <c r="AS31" s="107">
        <f>Table684[[#This Row],[Ιουλ-24]]*Table6[[#This Row],[Ιουλ-24]]</f>
        <v>2.8062770754538873E-3</v>
      </c>
      <c r="AT31" s="107">
        <f>Table684[[#This Row],[Αυγ-24]]*Table6[[#This Row],[Αυγ-24]]</f>
        <v>9.8700245529680856E-4</v>
      </c>
      <c r="AU31" s="107">
        <f>Table684[[#This Row],[Σεπ-24]]*Table6[[#This Row],[Σεπ-24]]</f>
        <v>-3.4289093791346837E-5</v>
      </c>
      <c r="AV31" s="107">
        <f>Table684[[#This Row],[Οκτ-24]]*Table6[[#This Row],[Οκτ-24]]</f>
        <v>-1.0675107043880746E-3</v>
      </c>
      <c r="AW31" s="107">
        <f>Table684[[#This Row],[Νοε-24]]*Table6[[#This Row],[Νοε-24]]</f>
        <v>5.2831410372582589E-4</v>
      </c>
      <c r="AX31" s="107">
        <f>Table684[[#This Row],[Δεκ-24]]*Table6[[#This Row],[Δεκ-24]]</f>
        <v>-7.8731214929916046E-4</v>
      </c>
      <c r="AY31" s="126">
        <f>Table684[[#This Row],[Ιαν-25]]*Table6[[#This Row],[Ιαν-25]]</f>
        <v>1.6074980411066238E-4</v>
      </c>
      <c r="AZ31" s="107">
        <f>Table684[[#This Row],[Φεβ-25]]*Table6[[#This Row],[Φεβ-25]]</f>
        <v>-2.4095308643345631E-4</v>
      </c>
      <c r="BA31" s="107">
        <f>Table684[[#This Row],[Μαρ-25]]*Table6[[#This Row],[Μαρ-25]]</f>
        <v>2.9009471561773978E-4</v>
      </c>
      <c r="BB31" s="107">
        <f>Table684[[#This Row],[Απρ-25]]*Table6[[#This Row],[Απρ-25]]</f>
        <v>3.8215612973795609E-4</v>
      </c>
      <c r="BC31" s="107">
        <f>Table684[[#This Row],[Μαϊ-25]]*Table6[[#This Row],[Μαϊ-25]]</f>
        <v>1.5513229113611003E-4</v>
      </c>
      <c r="BD31" s="126">
        <f>Table684[[#This Row],[Ιουν-25]]*Table6[[#This Row],[Ιουν-25]]</f>
        <v>-1.9366524019046466E-3</v>
      </c>
      <c r="BE31" s="107"/>
      <c r="BF31" s="153" cm="1">
        <f t="array" ref="BF31">PRODUCT(1+Table68[[#This Row],[Ιαν-21]:[Ιουν-25]])-1</f>
        <v>5.9651813797145792E-3</v>
      </c>
      <c r="BG31" s="112" t="s">
        <v>52</v>
      </c>
      <c r="BH31" s="112" t="str">
        <f>IF(Table68[[#This Row],[Cumulative Return ]]&lt;0,"Negative", IF(Table68[[#This Row],[Cumulative Return ]]&lt;0.025,"Positive","High Positive"))</f>
        <v>Positive</v>
      </c>
      <c r="BI31" s="113">
        <f>SLOPE(C31:BD31,$C$54:$BD$54)</f>
        <v>1.2730229612941764E-2</v>
      </c>
      <c r="BJ31" s="113"/>
      <c r="BK31" s="157"/>
      <c r="BM31" s="106" t="s">
        <v>105</v>
      </c>
      <c r="BN31" s="107">
        <v>1.5964138075933665E-2</v>
      </c>
    </row>
    <row r="32" spans="1:84">
      <c r="A32" s="110" t="s">
        <v>182</v>
      </c>
      <c r="B32" s="110" t="s">
        <v>183</v>
      </c>
      <c r="C32" s="126">
        <f>Table684[[#This Row],[Ιαν-21]]*Table6[[#This Row],[Ιαν-21]]</f>
        <v>-1.0972213850883009E-3</v>
      </c>
      <c r="D32" s="107">
        <f>Table684[[#This Row],[Φεβ-21]]*Table6[[#This Row],[Φεβ-21]]</f>
        <v>6.8112445436221611E-4</v>
      </c>
      <c r="E32" s="107">
        <f>Table684[[#This Row],[Μαρ-21]]*Table6[[#This Row],[Μαρ-21]]</f>
        <v>1.2368905941780224E-3</v>
      </c>
      <c r="F32" s="107">
        <f>Table684[[#This Row],[Απρ-21]]*Table6[[#This Row],[Απρ-21]]</f>
        <v>9.1129107459679993E-4</v>
      </c>
      <c r="G32" s="107">
        <f>Table684[[#This Row],[Μαϊ-21]]*Table6[[#This Row],[Μαϊ-21]]</f>
        <v>1.279025987188978E-3</v>
      </c>
      <c r="H32" s="126">
        <f>Table684[[#This Row],[Ιουν-21]]*Table6[[#This Row],[Ιουν-21]]</f>
        <v>3.3608582966668677E-4</v>
      </c>
      <c r="I32" s="107">
        <f>Table684[[#This Row],[Ιουλ-21]]*Table6[[#This Row],[Ιουλ-21]]</f>
        <v>4.4525484244197286E-4</v>
      </c>
      <c r="J32" s="107">
        <f>Table684[[#This Row],[Αυγ-21]]*Table6[[#This Row],[Αυγ-21]]</f>
        <v>4.5135680328819126E-4</v>
      </c>
      <c r="K32" s="107">
        <f>Table684[[#This Row],[Σεπ-21]]*Table6[[#This Row],[Σεπ-21]]</f>
        <v>-1.6704476177820929E-3</v>
      </c>
      <c r="L32" s="107">
        <f>Table684[[#This Row],[Οκτ-21]]*Table6[[#This Row],[Οκτ-21]]</f>
        <v>1.6526363163322727E-3</v>
      </c>
      <c r="M32" s="107">
        <f>Table684[[#This Row],[Νοε-21]]*Table6[[#This Row],[Νοε-21]]</f>
        <v>1.0650761410494047E-4</v>
      </c>
      <c r="N32" s="107">
        <f>Table684[[#This Row],[Δεκ-21]]*Table6[[#This Row],[Δεκ-21]]</f>
        <v>8.3926551141212419E-4</v>
      </c>
      <c r="O32" s="126">
        <f>Table684[[#This Row],[Ιαν-22]]*Table6[[#This Row],[Ιαν-22]]</f>
        <v>-1.5848753340164344E-3</v>
      </c>
      <c r="P32" s="107">
        <f>Table684[[#This Row],[Φεβ-22]]*Table6[[#This Row],[Φεβ-22]]</f>
        <v>-8.7105161218641372E-4</v>
      </c>
      <c r="Q32" s="107">
        <f>Table684[[#This Row],[Μαρ-22]]*Table6[[#This Row],[Μαρ-22]]</f>
        <v>3.65282282511834E-4</v>
      </c>
      <c r="R32" s="107">
        <f>Table684[[#This Row],[Απρ-22]]*Table6[[#This Row],[Απρ-22]]</f>
        <v>-4.0430282920544876E-4</v>
      </c>
      <c r="S32" s="107">
        <f>Table684[[#This Row],[Μαϊ-22]]*Table6[[#This Row],[Μαϊ-22]]</f>
        <v>-8.3270375563936137E-4</v>
      </c>
      <c r="T32" s="126">
        <f>Table684[[#This Row],[Ιουν-22]]*Table6[[#This Row],[Ιουν-22]]</f>
        <v>3.7892029815361743E-5</v>
      </c>
      <c r="U32" s="107">
        <f>Table684[[#This Row],[Ιουλ-22]]*Table6[[#This Row],[Ιουλ-22]]</f>
        <v>2.112343413921297E-3</v>
      </c>
      <c r="V32" s="107">
        <f>Table684[[#This Row],[Αυγ-22]]*Table6[[#This Row],[Αυγ-22]]</f>
        <v>-1.2745887745464425E-3</v>
      </c>
      <c r="W32" s="107">
        <f>Table684[[#This Row],[Σεπ-22]]*Table6[[#This Row],[Σεπ-22]]</f>
        <v>-7.0325260756689428E-4</v>
      </c>
      <c r="X32" s="107">
        <f>Table684[[#This Row],[Οκτ-22]]*Table6[[#This Row],[Οκτ-22]]</f>
        <v>-6.9316779882142184E-4</v>
      </c>
      <c r="Y32" s="107">
        <f>Table684[[#This Row],[Νοε-22]]*Table6[[#This Row],[Νοε-22]]</f>
        <v>1.9488721160749126E-3</v>
      </c>
      <c r="Z32" s="107">
        <f>Table684[[#This Row],[Δεκ-22]]*Table6[[#This Row],[Δεκ-22]]</f>
        <v>-1.0454110166067687E-3</v>
      </c>
      <c r="AA32" s="126">
        <f>Table684[[#This Row],[Ιαν-23]]*Table6[[#This Row],[Ιαν-23]]</f>
        <v>2.1944427701766018E-3</v>
      </c>
      <c r="AB32" s="107">
        <f>Table684[[#This Row],[Φεβ-23]]*Table6[[#This Row],[Φεβ-23]]</f>
        <v>-1.3353003955580444E-4</v>
      </c>
      <c r="AC32" s="107">
        <f>Table684[[#This Row],[Μαρ-23]]*Table6[[#This Row],[Μαρ-23]]</f>
        <v>1.6088594600154366E-3</v>
      </c>
      <c r="AD32" s="107">
        <f>Table684[[#This Row],[Απρ-23]]*Table6[[#This Row],[Απρ-23]]</f>
        <v>1.2227284691311545E-3</v>
      </c>
      <c r="AE32" s="107">
        <f>Table684[[#This Row],[Μαϊ-23]]*Table6[[#This Row],[Μαϊ-23]]</f>
        <v>-1.4759204358359085E-3</v>
      </c>
      <c r="AF32" s="126">
        <f>Table684[[#This Row],[Ιουν-23]]*Table6[[#This Row],[Ιουν-23]]</f>
        <v>1.1598256082615073E-3</v>
      </c>
      <c r="AG32" s="107">
        <f>Table684[[#This Row],[Ιουλ-23]]*Table6[[#This Row],[Ιουλ-23]]</f>
        <v>-1.5555793114049377E-4</v>
      </c>
      <c r="AH32" s="107">
        <f>Table684[[#This Row],[Αυγ-23]]*Table6[[#This Row],[Αυγ-23]]</f>
        <v>-6.8204761968046457E-4</v>
      </c>
      <c r="AI32" s="107">
        <f>Table684[[#This Row],[Σεπ-23]]*Table6[[#This Row],[Σεπ-23]]</f>
        <v>-5.0446867798492796E-4</v>
      </c>
      <c r="AJ32" s="107">
        <f>Table684[[#This Row],[Οκτ-23]]*Table6[[#This Row],[Οκτ-23]]</f>
        <v>1.1963626458465124E-4</v>
      </c>
      <c r="AK32" s="107">
        <f>Table684[[#This Row],[Νοε-23]]*Table6[[#This Row],[Νοε-23]]</f>
        <v>1.4733137859841555E-3</v>
      </c>
      <c r="AL32" s="107">
        <f>Table684[[#This Row],[Δεκ-23]]*Table6[[#This Row],[Δεκ-23]]</f>
        <v>7.6111010387154066E-4</v>
      </c>
      <c r="AM32" s="126">
        <f>Table684[[#This Row],[Ιαν-24]]*Table6[[#This Row],[Ιαν-24]]</f>
        <v>-2.1746730154903259E-4</v>
      </c>
      <c r="AN32" s="107">
        <f>Table684[[#This Row],[Φεβ-24]]*Table6[[#This Row],[Φεβ-24]]</f>
        <v>-1.0708421236688805E-4</v>
      </c>
      <c r="AO32" s="107">
        <f>Table684[[#This Row],[Μαρ-24]]*Table6[[#This Row],[Μαρ-24]]</f>
        <v>-1.0587966484239447E-4</v>
      </c>
      <c r="AP32" s="107">
        <f>Table684[[#This Row],[Απρ-24]]*Table6[[#This Row],[Απρ-24]]</f>
        <v>2.5563572403028098E-4</v>
      </c>
      <c r="AQ32" s="107">
        <f>Table684[[#This Row],[Μαϊ-24]]*Table6[[#This Row],[Μαϊ-24]]</f>
        <v>4.1687778498659484E-4</v>
      </c>
      <c r="AR32" s="126">
        <f>Table684[[#This Row],[Ιουν-24]]*Table6[[#This Row],[Ιουν-24]]</f>
        <v>-1.532155988186366E-3</v>
      </c>
      <c r="AS32" s="107">
        <f>Table684[[#This Row],[Ιουλ-24]]*Table6[[#This Row],[Ιουλ-24]]</f>
        <v>-3.4620690602930426E-4</v>
      </c>
      <c r="AT32" s="107">
        <f>Table684[[#This Row],[Αυγ-24]]*Table6[[#This Row],[Αυγ-24]]</f>
        <v>-1.4513336395232659E-4</v>
      </c>
      <c r="AU32" s="107">
        <f>Table684[[#This Row],[Σεπ-24]]*Table6[[#This Row],[Σεπ-24]]</f>
        <v>1.8973049141876759E-4</v>
      </c>
      <c r="AV32" s="107">
        <f>Table684[[#This Row],[Οκτ-24]]*Table6[[#This Row],[Οκτ-24]]</f>
        <v>-2.0189810289656909E-3</v>
      </c>
      <c r="AW32" s="107">
        <f>Table684[[#This Row],[Νοε-24]]*Table6[[#This Row],[Νοε-24]]</f>
        <v>-5.5697363691281719E-4</v>
      </c>
      <c r="AX32" s="107">
        <f>Table684[[#This Row],[Δεκ-24]]*Table6[[#This Row],[Δεκ-24]]</f>
        <v>4.6344163021843699E-4</v>
      </c>
      <c r="AY32" s="126">
        <f>Table684[[#This Row],[Ιαν-25]]*Table6[[#This Row],[Ιαν-25]]</f>
        <v>8.0232254435135518E-4</v>
      </c>
      <c r="AZ32" s="107">
        <f>Table684[[#This Row],[Φεβ-25]]*Table6[[#This Row],[Φεβ-25]]</f>
        <v>-2.4560458918315958E-4</v>
      </c>
      <c r="BA32" s="107">
        <f>Table684[[#This Row],[Μαρ-25]]*Table6[[#This Row],[Μαρ-25]]</f>
        <v>-4.335000337364221E-4</v>
      </c>
      <c r="BB32" s="107">
        <f>Table684[[#This Row],[Απρ-25]]*Table6[[#This Row],[Απρ-25]]</f>
        <v>1.9262004855117845E-3</v>
      </c>
      <c r="BC32" s="107">
        <f>Table684[[#This Row],[Μαϊ-25]]*Table6[[#This Row],[Μαϊ-25]]</f>
        <v>-3.4009112311319276E-4</v>
      </c>
      <c r="BD32" s="126">
        <f>Table684[[#This Row],[Ιουν-25]]*Table6[[#This Row],[Ιουν-25]]</f>
        <v>-4.1186988929741027E-4</v>
      </c>
      <c r="BE32" s="107"/>
      <c r="BF32" s="153" cm="1">
        <f t="array" ref="BF32">PRODUCT(1+Table68[[#This Row],[Ιαν-21]:[Ιουν-25]])-1</f>
        <v>5.3945146006699751E-3</v>
      </c>
      <c r="BG32" s="112" t="s">
        <v>52</v>
      </c>
      <c r="BH32" s="112" t="str">
        <f>IF(Table68[[#This Row],[Cumulative Return ]]&lt;0,"Negative", IF(Table68[[#This Row],[Cumulative Return ]]&lt;0.025,"Positive","High Positive"))</f>
        <v>Positive</v>
      </c>
      <c r="BI32" s="113">
        <f>SLOPE(C32:BD32,$C$54:$BD$54)</f>
        <v>1.7819508974344353E-2</v>
      </c>
      <c r="BJ32" s="113"/>
      <c r="BK32" s="157"/>
      <c r="BM32" s="106" t="s">
        <v>185</v>
      </c>
      <c r="BN32" s="107">
        <v>1.6475076000147304E-2</v>
      </c>
    </row>
    <row r="33" spans="1:66">
      <c r="A33" s="110" t="s">
        <v>204</v>
      </c>
      <c r="B33" s="110" t="s">
        <v>205</v>
      </c>
      <c r="C33" s="126">
        <f>Table684[[#This Row],[Ιαν-21]]*Table6[[#This Row],[Ιαν-21]]</f>
        <v>1.8817431137363626E-4</v>
      </c>
      <c r="D33" s="107">
        <f>Table684[[#This Row],[Φεβ-21]]*Table6[[#This Row],[Φεβ-21]]</f>
        <v>2.381557172517921E-4</v>
      </c>
      <c r="E33" s="107">
        <f>Table684[[#This Row],[Μαρ-21]]*Table6[[#This Row],[Μαρ-21]]</f>
        <v>3.1087893783336549E-4</v>
      </c>
      <c r="F33" s="107">
        <f>Table684[[#This Row],[Απρ-21]]*Table6[[#This Row],[Απρ-21]]</f>
        <v>1.8383891729508055E-5</v>
      </c>
      <c r="G33" s="107">
        <f>Table684[[#This Row],[Μαϊ-21]]*Table6[[#This Row],[Μαϊ-21]]</f>
        <v>2.3138085203211733E-4</v>
      </c>
      <c r="H33" s="126">
        <f>Table684[[#This Row],[Ιουν-21]]*Table6[[#This Row],[Ιουν-21]]</f>
        <v>1.5526490265806758E-4</v>
      </c>
      <c r="I33" s="107">
        <f>Table684[[#This Row],[Ιουλ-21]]*Table6[[#This Row],[Ιουλ-21]]</f>
        <v>3.8329923469710564E-4</v>
      </c>
      <c r="J33" s="107">
        <f>Table684[[#This Row],[Αυγ-21]]*Table6[[#This Row],[Αυγ-21]]</f>
        <v>-2.706609376726724E-5</v>
      </c>
      <c r="K33" s="107">
        <f>Table684[[#This Row],[Σεπ-21]]*Table6[[#This Row],[Σεπ-21]]</f>
        <v>-3.8671786981679245E-4</v>
      </c>
      <c r="L33" s="107">
        <f>Table684[[#This Row],[Οκτ-21]]*Table6[[#This Row],[Οκτ-21]]</f>
        <v>-3.7860693988349316E-4</v>
      </c>
      <c r="M33" s="107">
        <f>Table684[[#This Row],[Νοε-21]]*Table6[[#This Row],[Νοε-21]]</f>
        <v>-5.8545074689883938E-4</v>
      </c>
      <c r="N33" s="107">
        <f>Table684[[#This Row],[Δεκ-21]]*Table6[[#This Row],[Δεκ-21]]</f>
        <v>3.6311341772276277E-4</v>
      </c>
      <c r="O33" s="126">
        <f>Table684[[#This Row],[Ιαν-22]]*Table6[[#This Row],[Ιαν-22]]</f>
        <v>1.0210355011753357E-4</v>
      </c>
      <c r="P33" s="107">
        <f>Table684[[#This Row],[Φεβ-22]]*Table6[[#This Row],[Φεβ-22]]</f>
        <v>-1.4643717517519772E-4</v>
      </c>
      <c r="Q33" s="107">
        <f>Table684[[#This Row],[Μαρ-22]]*Table6[[#This Row],[Μαρ-22]]</f>
        <v>-6.9190205295444431E-4</v>
      </c>
      <c r="R33" s="107">
        <f>Table684[[#This Row],[Απρ-22]]*Table6[[#This Row],[Απρ-22]]</f>
        <v>1.2118110951579316E-3</v>
      </c>
      <c r="S33" s="107">
        <f>Table684[[#This Row],[Μαϊ-22]]*Table6[[#This Row],[Μαϊ-22]]</f>
        <v>-1.4834824432244411E-4</v>
      </c>
      <c r="T33" s="126">
        <f>Table684[[#This Row],[Ιουν-22]]*Table6[[#This Row],[Ιουν-22]]</f>
        <v>-2.2699053703815314E-4</v>
      </c>
      <c r="U33" s="107">
        <f>Table684[[#This Row],[Ιουλ-22]]*Table6[[#This Row],[Ιουλ-22]]</f>
        <v>9.1844179656320836E-5</v>
      </c>
      <c r="V33" s="107">
        <f>Table684[[#This Row],[Αυγ-22]]*Table6[[#This Row],[Αυγ-22]]</f>
        <v>-2.0538234601357391E-4</v>
      </c>
      <c r="W33" s="107">
        <f>Table684[[#This Row],[Σεπ-22]]*Table6[[#This Row],[Σεπ-22]]</f>
        <v>-6.5452585366611933E-4</v>
      </c>
      <c r="X33" s="107">
        <f>Table684[[#This Row],[Οκτ-22]]*Table6[[#This Row],[Οκτ-22]]</f>
        <v>3.1003224391917936E-4</v>
      </c>
      <c r="Y33" s="107">
        <f>Table684[[#This Row],[Νοε-22]]*Table6[[#This Row],[Νοε-22]]</f>
        <v>-4.2727425578822575E-5</v>
      </c>
      <c r="Z33" s="107">
        <f>Table684[[#This Row],[Δεκ-22]]*Table6[[#This Row],[Δεκ-22]]</f>
        <v>-1.2896319854024781E-4</v>
      </c>
      <c r="AA33" s="126">
        <f>Table684[[#This Row],[Ιαν-23]]*Table6[[#This Row],[Ιαν-23]]</f>
        <v>1.847989874028087E-4</v>
      </c>
      <c r="AB33" s="107">
        <f>Table684[[#This Row],[Φεβ-23]]*Table6[[#This Row],[Φεβ-23]]</f>
        <v>4.6019789829391118E-4</v>
      </c>
      <c r="AC33" s="107">
        <f>Table684[[#This Row],[Μαρ-23]]*Table6[[#This Row],[Μαρ-23]]</f>
        <v>6.2811655340983734E-4</v>
      </c>
      <c r="AD33" s="107">
        <f>Table684[[#This Row],[Απρ-23]]*Table6[[#This Row],[Απρ-23]]</f>
        <v>4.1244289356836758E-4</v>
      </c>
      <c r="AE33" s="107">
        <f>Table684[[#This Row],[Μαϊ-23]]*Table6[[#This Row],[Μαϊ-23]]</f>
        <v>-4.1294787650573284E-4</v>
      </c>
      <c r="AF33" s="126">
        <f>Table684[[#This Row],[Ιουν-23]]*Table6[[#This Row],[Ιουν-23]]</f>
        <v>1.2235549394249893E-4</v>
      </c>
      <c r="AG33" s="107">
        <f>Table684[[#This Row],[Ιουλ-23]]*Table6[[#This Row],[Ιουλ-23]]</f>
        <v>-9.0452099780419286E-5</v>
      </c>
      <c r="AH33" s="107">
        <f>Table684[[#This Row],[Αυγ-23]]*Table6[[#This Row],[Αυγ-23]]</f>
        <v>-2.4606285834808143E-4</v>
      </c>
      <c r="AI33" s="107">
        <f>Table684[[#This Row],[Σεπ-23]]*Table6[[#This Row],[Σεπ-23]]</f>
        <v>-2.3202678800423286E-4</v>
      </c>
      <c r="AJ33" s="107">
        <f>Table684[[#This Row],[Οκτ-23]]*Table6[[#This Row],[Οκτ-23]]</f>
        <v>5.8251456344438112E-4</v>
      </c>
      <c r="AK33" s="107">
        <f>Table684[[#This Row],[Νοε-23]]*Table6[[#This Row],[Νοε-23]]</f>
        <v>4.3941641557984206E-4</v>
      </c>
      <c r="AL33" s="107">
        <f>Table684[[#This Row],[Δεκ-23]]*Table6[[#This Row],[Δεκ-23]]</f>
        <v>-4.1408413368190664E-5</v>
      </c>
      <c r="AM33" s="126">
        <f>Table684[[#This Row],[Ιαν-24]]*Table6[[#This Row],[Ιαν-24]]</f>
        <v>4.3963594720028919E-4</v>
      </c>
      <c r="AN33" s="107">
        <f>Table684[[#This Row],[Φεβ-24]]*Table6[[#This Row],[Φεβ-24]]</f>
        <v>-3.8490411241890214E-4</v>
      </c>
      <c r="AO33" s="107">
        <f>Table684[[#This Row],[Μαρ-24]]*Table6[[#This Row],[Μαρ-24]]</f>
        <v>1.1854306332116005E-4</v>
      </c>
      <c r="AP33" s="107">
        <f>Table684[[#This Row],[Απρ-24]]*Table6[[#This Row],[Απρ-24]]</f>
        <v>-1.5897987884706284E-4</v>
      </c>
      <c r="AQ33" s="107">
        <f>Table684[[#This Row],[Μαϊ-24]]*Table6[[#This Row],[Μαϊ-24]]</f>
        <v>3.4029418545504227E-4</v>
      </c>
      <c r="AR33" s="126">
        <f>Table684[[#This Row],[Ιουν-24]]*Table6[[#This Row],[Ιουν-24]]</f>
        <v>-2.9112169248387675E-4</v>
      </c>
      <c r="AS33" s="107">
        <f>Table684[[#This Row],[Ιουλ-24]]*Table6[[#This Row],[Ιουλ-24]]</f>
        <v>4.4511725837026727E-4</v>
      </c>
      <c r="AT33" s="107">
        <f>Table684[[#This Row],[Αυγ-24]]*Table6[[#This Row],[Αυγ-24]]</f>
        <v>3.7101582558509149E-4</v>
      </c>
      <c r="AU33" s="107">
        <f>Table684[[#This Row],[Σεπ-24]]*Table6[[#This Row],[Σεπ-24]]</f>
        <v>3.470144259803077E-4</v>
      </c>
      <c r="AV33" s="107">
        <f>Table684[[#This Row],[Οκτ-24]]*Table6[[#This Row],[Οκτ-24]]</f>
        <v>4.9156000351134007E-5</v>
      </c>
      <c r="AW33" s="107">
        <f>Table684[[#This Row],[Νοε-24]]*Table6[[#This Row],[Νοε-24]]</f>
        <v>-1.4522482864548052E-4</v>
      </c>
      <c r="AX33" s="107">
        <f>Table684[[#This Row],[Δεκ-24]]*Table6[[#This Row],[Δεκ-24]]</f>
        <v>6.3079918770978823E-5</v>
      </c>
      <c r="AY33" s="126">
        <f>Table684[[#This Row],[Ιαν-25]]*Table6[[#This Row],[Ιαν-25]]</f>
        <v>3.0546681935989385E-4</v>
      </c>
      <c r="AZ33" s="107">
        <f>Table684[[#This Row],[Φεβ-25]]*Table6[[#This Row],[Φεβ-25]]</f>
        <v>1.6654310819755639E-4</v>
      </c>
      <c r="BA33" s="107">
        <f>Table684[[#This Row],[Μαρ-25]]*Table6[[#This Row],[Μαρ-25]]</f>
        <v>2.2736623208001916E-4</v>
      </c>
      <c r="BB33" s="107">
        <f>Table684[[#This Row],[Απρ-25]]*Table6[[#This Row],[Απρ-25]]</f>
        <v>6.007351351028262E-4</v>
      </c>
      <c r="BC33" s="107">
        <f>Table684[[#This Row],[Μαϊ-25]]*Table6[[#This Row],[Μαϊ-25]]</f>
        <v>1.6800077128897438E-4</v>
      </c>
      <c r="BD33" s="126">
        <f>Table684[[#This Row],[Ιουν-25]]*Table6[[#This Row],[Ιουν-25]]</f>
        <v>-6.5903200530408035E-4</v>
      </c>
      <c r="BE33" s="107"/>
      <c r="BF33" s="153" cm="1">
        <f t="array" ref="BF33">PRODUCT(1+Table68[[#This Row],[Ιαν-21]:[Ιουν-25]])-1</f>
        <v>3.7943849014685505E-3</v>
      </c>
      <c r="BG33" s="112" t="s">
        <v>52</v>
      </c>
      <c r="BH33" s="112" t="str">
        <f>IF(Table68[[#This Row],[Cumulative Return ]]&lt;0,"Negative", IF(Table68[[#This Row],[Cumulative Return ]]&lt;0.025,"Positive","High Positive"))</f>
        <v>Positive</v>
      </c>
      <c r="BI33" s="113">
        <f>SLOPE(C33:BD33,$C$54:$BD$54)</f>
        <v>3.2004418282225036E-3</v>
      </c>
      <c r="BJ33" s="113"/>
      <c r="BK33" s="157"/>
      <c r="BM33" s="106" t="s">
        <v>65</v>
      </c>
      <c r="BN33" s="107">
        <v>1.9789249000787379E-2</v>
      </c>
    </row>
    <row r="34" spans="1:66">
      <c r="A34" s="110" t="s">
        <v>207</v>
      </c>
      <c r="B34" s="110" t="s">
        <v>208</v>
      </c>
      <c r="C34" s="126">
        <f>Table684[[#This Row],[Ιαν-21]]*Table6[[#This Row],[Ιαν-21]]</f>
        <v>2.2696464169551987E-4</v>
      </c>
      <c r="D34" s="107">
        <f>Table684[[#This Row],[Φεβ-21]]*Table6[[#This Row],[Φεβ-21]]</f>
        <v>-8.3580308154060454E-4</v>
      </c>
      <c r="E34" s="107">
        <f>Table684[[#This Row],[Μαρ-21]]*Table6[[#This Row],[Μαρ-21]]</f>
        <v>8.7682664131466634E-4</v>
      </c>
      <c r="F34" s="107">
        <f>Table684[[#This Row],[Απρ-21]]*Table6[[#This Row],[Απρ-21]]</f>
        <v>-4.1335098249152752E-4</v>
      </c>
      <c r="G34" s="107">
        <f>Table684[[#This Row],[Μαϊ-21]]*Table6[[#This Row],[Μαϊ-21]]</f>
        <v>5.3149591714747959E-4</v>
      </c>
      <c r="H34" s="126">
        <f>Table684[[#This Row],[Ιουν-21]]*Table6[[#This Row],[Ιουν-21]]</f>
        <v>6.677998111425873E-4</v>
      </c>
      <c r="I34" s="107">
        <f>Table684[[#This Row],[Ιουλ-21]]*Table6[[#This Row],[Ιουλ-21]]</f>
        <v>5.119226427706653E-4</v>
      </c>
      <c r="J34" s="107">
        <f>Table684[[#This Row],[Αυγ-21]]*Table6[[#This Row],[Αυγ-21]]</f>
        <v>1.2642250147700453E-3</v>
      </c>
      <c r="K34" s="107">
        <f>Table684[[#This Row],[Σεπ-21]]*Table6[[#This Row],[Σεπ-21]]</f>
        <v>7.3604023862670746E-5</v>
      </c>
      <c r="L34" s="107">
        <f>Table684[[#This Row],[Οκτ-21]]*Table6[[#This Row],[Οκτ-21]]</f>
        <v>-2.756640877680429E-4</v>
      </c>
      <c r="M34" s="107">
        <f>Table684[[#This Row],[Νοε-21]]*Table6[[#This Row],[Νοε-21]]</f>
        <v>6.6072681798992508E-4</v>
      </c>
      <c r="N34" s="107">
        <f>Table684[[#This Row],[Δεκ-21]]*Table6[[#This Row],[Δεκ-21]]</f>
        <v>2.2010102881075074E-4</v>
      </c>
      <c r="O34" s="126">
        <f>Table684[[#This Row],[Ιαν-22]]*Table6[[#This Row],[Ιαν-22]]</f>
        <v>-4.9975868219494289E-4</v>
      </c>
      <c r="P34" s="107">
        <f>Table684[[#This Row],[Φεβ-22]]*Table6[[#This Row],[Φεβ-22]]</f>
        <v>-4.6522337993939078E-4</v>
      </c>
      <c r="Q34" s="107">
        <f>Table684[[#This Row],[Μαρ-22]]*Table6[[#This Row],[Μαρ-22]]</f>
        <v>6.1923974109068009E-4</v>
      </c>
      <c r="R34" s="107">
        <f>Table684[[#This Row],[Απρ-22]]*Table6[[#This Row],[Απρ-22]]</f>
        <v>-1.868119449663778E-4</v>
      </c>
      <c r="S34" s="107">
        <f>Table684[[#This Row],[Μαϊ-22]]*Table6[[#This Row],[Μαϊ-22]]</f>
        <v>-8.9856180173149085E-4</v>
      </c>
      <c r="T34" s="126">
        <f>Table684[[#This Row],[Ιουν-22]]*Table6[[#This Row],[Ιουν-22]]</f>
        <v>-3.589969572972406E-4</v>
      </c>
      <c r="U34" s="107">
        <f>Table684[[#This Row],[Ιουλ-22]]*Table6[[#This Row],[Ιουλ-22]]</f>
        <v>9.3395366694661432E-4</v>
      </c>
      <c r="V34" s="107">
        <f>Table684[[#This Row],[Αυγ-22]]*Table6[[#This Row],[Αυγ-22]]</f>
        <v>4.2265478860342346E-4</v>
      </c>
      <c r="W34" s="107">
        <f>Table684[[#This Row],[Σεπ-22]]*Table6[[#This Row],[Σεπ-22]]</f>
        <v>-5.8900607083099991E-4</v>
      </c>
      <c r="X34" s="107">
        <f>Table684[[#This Row],[Οκτ-22]]*Table6[[#This Row],[Οκτ-22]]</f>
        <v>1.0379629221101269E-3</v>
      </c>
      <c r="Y34" s="107">
        <f>Table684[[#This Row],[Νοε-22]]*Table6[[#This Row],[Νοε-22]]</f>
        <v>-1.9879710451157359E-4</v>
      </c>
      <c r="Z34" s="107">
        <f>Table684[[#This Row],[Δεκ-22]]*Table6[[#This Row],[Δεκ-22]]</f>
        <v>-4.1403208425153928E-4</v>
      </c>
      <c r="AA34" s="126">
        <f>Table684[[#This Row],[Ιαν-23]]*Table6[[#This Row],[Ιαν-23]]</f>
        <v>2.2150876088553143E-4</v>
      </c>
      <c r="AB34" s="107">
        <f>Table684[[#This Row],[Φεβ-23]]*Table6[[#This Row],[Φεβ-23]]</f>
        <v>9.8005796873097467E-4</v>
      </c>
      <c r="AC34" s="107">
        <f>Table684[[#This Row],[Μαρ-23]]*Table6[[#This Row],[Μαρ-23]]</f>
        <v>5.397964876581807E-4</v>
      </c>
      <c r="AD34" s="107">
        <f>Table684[[#This Row],[Απρ-23]]*Table6[[#This Row],[Απρ-23]]</f>
        <v>1.2060134488166715E-4</v>
      </c>
      <c r="AE34" s="107">
        <f>Table684[[#This Row],[Μαϊ-23]]*Table6[[#This Row],[Μαϊ-23]]</f>
        <v>-5.6470923950487854E-4</v>
      </c>
      <c r="AF34" s="126">
        <f>Table684[[#This Row],[Ιουν-23]]*Table6[[#This Row],[Ιουν-23]]</f>
        <v>5.881439513167559E-4</v>
      </c>
      <c r="AG34" s="107">
        <f>Table684[[#This Row],[Ιουλ-23]]*Table6[[#This Row],[Ιουλ-23]]</f>
        <v>4.4590146279898532E-5</v>
      </c>
      <c r="AH34" s="107">
        <f>Table684[[#This Row],[Αυγ-23]]*Table6[[#This Row],[Αυγ-23]]</f>
        <v>-2.5548230197970921E-4</v>
      </c>
      <c r="AI34" s="107">
        <f>Table684[[#This Row],[Σεπ-23]]*Table6[[#This Row],[Σεπ-23]]</f>
        <v>-5.9823837604798741E-4</v>
      </c>
      <c r="AJ34" s="107">
        <f>Table684[[#This Row],[Οκτ-23]]*Table6[[#This Row],[Οκτ-23]]</f>
        <v>-1.9060646158148523E-4</v>
      </c>
      <c r="AK34" s="107">
        <f>Table684[[#This Row],[Νοε-23]]*Table6[[#This Row],[Νοε-23]]</f>
        <v>-5.4995238042428326E-4</v>
      </c>
      <c r="AL34" s="107">
        <f>Table684[[#This Row],[Δεκ-23]]*Table6[[#This Row],[Δεκ-23]]</f>
        <v>-1.912700118278721E-4</v>
      </c>
      <c r="AM34" s="126">
        <f>Table684[[#This Row],[Ιαν-24]]*Table6[[#This Row],[Ιαν-24]]</f>
        <v>-2.1823523239953836E-6</v>
      </c>
      <c r="AN34" s="107">
        <f>Table684[[#This Row],[Φεβ-24]]*Table6[[#This Row],[Φεβ-24]]</f>
        <v>6.2313996185161646E-4</v>
      </c>
      <c r="AO34" s="107">
        <f>Table684[[#This Row],[Μαρ-24]]*Table6[[#This Row],[Μαρ-24]]</f>
        <v>8.0073983312761447E-5</v>
      </c>
      <c r="AP34" s="107">
        <f>Table684[[#This Row],[Απρ-24]]*Table6[[#This Row],[Απρ-24]]</f>
        <v>5.1730441518868628E-4</v>
      </c>
      <c r="AQ34" s="107">
        <f>Table684[[#This Row],[Μαϊ-24]]*Table6[[#This Row],[Μαϊ-24]]</f>
        <v>3.8546291802358969E-5</v>
      </c>
      <c r="AR34" s="126">
        <f>Table684[[#This Row],[Ιουν-24]]*Table6[[#This Row],[Ιουν-24]]</f>
        <v>-3.6336166194523141E-4</v>
      </c>
      <c r="AS34" s="107">
        <f>Table684[[#This Row],[Ιουλ-24]]*Table6[[#This Row],[Ιουλ-24]]</f>
        <v>8.4738352055847171E-4</v>
      </c>
      <c r="AT34" s="107">
        <f>Table684[[#This Row],[Αυγ-24]]*Table6[[#This Row],[Αυγ-24]]</f>
        <v>6.7683918497920528E-4</v>
      </c>
      <c r="AU34" s="107">
        <f>Table684[[#This Row],[Σεπ-24]]*Table6[[#This Row],[Σεπ-24]]</f>
        <v>-1.1569048097324062E-5</v>
      </c>
      <c r="AV34" s="107">
        <f>Table684[[#This Row],[Οκτ-24]]*Table6[[#This Row],[Οκτ-24]]</f>
        <v>-2.6816274401579061E-4</v>
      </c>
      <c r="AW34" s="107">
        <f>Table684[[#This Row],[Νοε-24]]*Table6[[#This Row],[Νοε-24]]</f>
        <v>8.9149983884321312E-4</v>
      </c>
      <c r="AX34" s="107">
        <f>Table684[[#This Row],[Δεκ-24]]*Table6[[#This Row],[Δεκ-24]]</f>
        <v>-4.3370486790192002E-4</v>
      </c>
      <c r="AY34" s="126">
        <f>Table684[[#This Row],[Ιαν-25]]*Table6[[#This Row],[Ιαν-25]]</f>
        <v>9.2531738537404262E-4</v>
      </c>
      <c r="AZ34" s="107">
        <f>Table684[[#This Row],[Φεβ-25]]*Table6[[#This Row],[Φεβ-25]]</f>
        <v>-6.1589448830109928E-5</v>
      </c>
      <c r="BA34" s="107">
        <f>Table684[[#This Row],[Μαρ-25]]*Table6[[#This Row],[Μαρ-25]]</f>
        <v>1.8120756218810031E-4</v>
      </c>
      <c r="BB34" s="107">
        <f>Table684[[#This Row],[Απρ-25]]*Table6[[#This Row],[Απρ-25]]</f>
        <v>7.2731346241797017E-4</v>
      </c>
      <c r="BC34" s="107">
        <f>Table684[[#This Row],[Μαϊ-25]]*Table6[[#This Row],[Μαϊ-25]]</f>
        <v>3.3059276631265401E-4</v>
      </c>
      <c r="BD34" s="126">
        <f>Table684[[#This Row],[Ιουν-25]]*Table6[[#This Row],[Ιουν-25]]</f>
        <v>-4.9321162522295665E-4</v>
      </c>
      <c r="BE34" s="107"/>
      <c r="BF34" s="153" cm="1">
        <f t="array" ref="BF34">PRODUCT(1+Table68[[#This Row],[Ιαν-21]:[Ιουν-25]])-1</f>
        <v>7.2792493394155944E-3</v>
      </c>
      <c r="BG34" s="112" t="s">
        <v>52</v>
      </c>
      <c r="BH34" s="112" t="str">
        <f>IF(Table68[[#This Row],[Cumulative Return ]]&lt;0,"Negative", IF(Table68[[#This Row],[Cumulative Return ]]&lt;0.025,"Positive","High Positive"))</f>
        <v>Positive</v>
      </c>
      <c r="BI34" s="113">
        <f>SLOPE(C34:BD34,$C$54:$BD$54)</f>
        <v>5.7287183580234493E-3</v>
      </c>
      <c r="BJ34" s="113"/>
      <c r="BK34" s="157"/>
      <c r="BM34" s="106" t="s">
        <v>262</v>
      </c>
      <c r="BN34" s="107">
        <v>2.022930746140772E-2</v>
      </c>
    </row>
    <row r="35" spans="1:66">
      <c r="A35" s="110" t="s">
        <v>213</v>
      </c>
      <c r="B35" s="110" t="s">
        <v>214</v>
      </c>
      <c r="C35" s="126">
        <f>Table684[[#This Row],[Ιαν-21]]*Table6[[#This Row],[Ιαν-21]]</f>
        <v>-3.4168555240793185E-3</v>
      </c>
      <c r="D35" s="107">
        <f>Table684[[#This Row],[Φεβ-21]]*Table6[[#This Row],[Φεβ-21]]</f>
        <v>2.7069325621409328E-3</v>
      </c>
      <c r="E35" s="107">
        <f>Table684[[#This Row],[Μαρ-21]]*Table6[[#This Row],[Μαρ-21]]</f>
        <v>-2.3223712385423544E-3</v>
      </c>
      <c r="F35" s="107">
        <f>Table684[[#This Row],[Απρ-21]]*Table6[[#This Row],[Απρ-21]]</f>
        <v>-7.8269151995569402E-4</v>
      </c>
      <c r="G35" s="107">
        <f>Table684[[#This Row],[Μαϊ-21]]*Table6[[#This Row],[Μαϊ-21]]</f>
        <v>3.9951501795820422E-3</v>
      </c>
      <c r="H35" s="126">
        <f>Table684[[#This Row],[Ιουν-21]]*Table6[[#This Row],[Ιουν-21]]</f>
        <v>1.389109222536984E-3</v>
      </c>
      <c r="I35" s="107">
        <f>Table684[[#This Row],[Ιουλ-21]]*Table6[[#This Row],[Ιουλ-21]]</f>
        <v>-7.0097397879123385E-4</v>
      </c>
      <c r="J35" s="107">
        <f>Table684[[#This Row],[Αυγ-21]]*Table6[[#This Row],[Αυγ-21]]</f>
        <v>-6.6720310849084597E-4</v>
      </c>
      <c r="K35" s="107">
        <f>Table684[[#This Row],[Σεπ-21]]*Table6[[#This Row],[Σεπ-21]]</f>
        <v>-2.507627914513361E-3</v>
      </c>
      <c r="L35" s="107">
        <f>Table684[[#This Row],[Οκτ-21]]*Table6[[#This Row],[Οκτ-21]]</f>
        <v>1.0484697022797914E-3</v>
      </c>
      <c r="M35" s="107">
        <f>Table684[[#This Row],[Νοε-21]]*Table6[[#This Row],[Νοε-21]]</f>
        <v>-2.6530010188294336E-3</v>
      </c>
      <c r="N35" s="107">
        <f>Table684[[#This Row],[Δεκ-21]]*Table6[[#This Row],[Δεκ-21]]</f>
        <v>-1.0854919162579725E-4</v>
      </c>
      <c r="O35" s="126">
        <f>Table684[[#This Row],[Ιαν-22]]*Table6[[#This Row],[Ιαν-22]]</f>
        <v>-1.2390147938306573E-3</v>
      </c>
      <c r="P35" s="107">
        <f>Table684[[#This Row],[Φεβ-22]]*Table6[[#This Row],[Φεβ-22]]</f>
        <v>-3.9608574241761932E-3</v>
      </c>
      <c r="Q35" s="107">
        <f>Table684[[#This Row],[Μαρ-22]]*Table6[[#This Row],[Μαρ-22]]</f>
        <v>5.1770519901086923E-4</v>
      </c>
      <c r="R35" s="107">
        <f>Table684[[#This Row],[Απρ-22]]*Table6[[#This Row],[Απρ-22]]</f>
        <v>-2.7343302914437633E-3</v>
      </c>
      <c r="S35" s="107">
        <f>Table684[[#This Row],[Μαϊ-22]]*Table6[[#This Row],[Μαϊ-22]]</f>
        <v>-2.0321314572842157E-4</v>
      </c>
      <c r="T35" s="126">
        <f>Table684[[#This Row],[Ιουν-22]]*Table6[[#This Row],[Ιουν-22]]</f>
        <v>-2.6546112684922873E-3</v>
      </c>
      <c r="U35" s="107">
        <f>Table684[[#This Row],[Ιουλ-22]]*Table6[[#This Row],[Ιουλ-22]]</f>
        <v>-8.4321785921719869E-5</v>
      </c>
      <c r="V35" s="107">
        <f>Table684[[#This Row],[Αυγ-22]]*Table6[[#This Row],[Αυγ-22]]</f>
        <v>-3.2256213789330942E-3</v>
      </c>
      <c r="W35" s="107">
        <f>Table684[[#This Row],[Σεπ-22]]*Table6[[#This Row],[Σεπ-22]]</f>
        <v>-5.3227767178687076E-3</v>
      </c>
      <c r="X35" s="107">
        <f>Table684[[#This Row],[Οκτ-22]]*Table6[[#This Row],[Οκτ-22]]</f>
        <v>-3.257381493963621E-3</v>
      </c>
      <c r="Y35" s="107">
        <f>Table684[[#This Row],[Νοε-22]]*Table6[[#This Row],[Νοε-22]]</f>
        <v>4.0940256652108944E-3</v>
      </c>
      <c r="Z35" s="107">
        <f>Table684[[#This Row],[Δεκ-22]]*Table6[[#This Row],[Δεκ-22]]</f>
        <v>6.4939421287989001E-4</v>
      </c>
      <c r="AA35" s="126">
        <f>Table684[[#This Row],[Ιαν-23]]*Table6[[#This Row],[Ιαν-23]]</f>
        <v>4.5764085615360378E-3</v>
      </c>
      <c r="AB35" s="107">
        <f>Table684[[#This Row],[Φεβ-23]]*Table6[[#This Row],[Φεβ-23]]</f>
        <v>-1.2442138068186062E-3</v>
      </c>
      <c r="AC35" s="107">
        <f>Table684[[#This Row],[Μαρ-23]]*Table6[[#This Row],[Μαρ-23]]</f>
        <v>4.2566172272380833E-3</v>
      </c>
      <c r="AD35" s="107">
        <f>Table684[[#This Row],[Απρ-23]]*Table6[[#This Row],[Απρ-23]]</f>
        <v>-5.0636315814988676E-4</v>
      </c>
      <c r="AE35" s="107">
        <f>Table684[[#This Row],[Μαϊ-23]]*Table6[[#This Row],[Μαϊ-23]]</f>
        <v>-1.4430432595574463E-3</v>
      </c>
      <c r="AF35" s="126">
        <f>Table684[[#This Row],[Ιουν-23]]*Table6[[#This Row],[Ιουν-23]]</f>
        <v>5.1444129682090001E-3</v>
      </c>
      <c r="AG35" s="107">
        <f>Table684[[#This Row],[Ιουλ-23]]*Table6[[#This Row],[Ιουλ-23]]</f>
        <v>1.1093560575760582E-3</v>
      </c>
      <c r="AH35" s="107">
        <f>Table684[[#This Row],[Αυγ-23]]*Table6[[#This Row],[Αυγ-23]]</f>
        <v>1.0176509976686464E-4</v>
      </c>
      <c r="AI35" s="107">
        <f>Table684[[#This Row],[Σεπ-23]]*Table6[[#This Row],[Σεπ-23]]</f>
        <v>-3.5167712396841034E-3</v>
      </c>
      <c r="AJ35" s="107">
        <f>Table684[[#This Row],[Οκτ-23]]*Table6[[#This Row],[Οκτ-23]]</f>
        <v>2.5937925501859848E-4</v>
      </c>
      <c r="AK35" s="107">
        <f>Table684[[#This Row],[Νοε-23]]*Table6[[#This Row],[Νοε-23]]</f>
        <v>4.9279607617730235E-3</v>
      </c>
      <c r="AL35" s="107">
        <f>Table684[[#This Row],[Δεκ-23]]*Table6[[#This Row],[Δεκ-23]]</f>
        <v>-1.4399968599114509E-3</v>
      </c>
      <c r="AM35" s="126">
        <f>Table684[[#This Row],[Ιαν-24]]*Table6[[#This Row],[Ιαν-24]]</f>
        <v>-3.3903682719546727E-3</v>
      </c>
      <c r="AN35" s="107">
        <f>Table684[[#This Row],[Φεβ-24]]*Table6[[#This Row],[Φεβ-24]]</f>
        <v>3.804168877740557E-3</v>
      </c>
      <c r="AO35" s="107">
        <f>Table684[[#This Row],[Μαρ-24]]*Table6[[#This Row],[Μαρ-24]]</f>
        <v>2.9756980484158466E-3</v>
      </c>
      <c r="AP35" s="107">
        <f>Table684[[#This Row],[Απρ-24]]*Table6[[#This Row],[Απρ-24]]</f>
        <v>2.7405516525484991E-3</v>
      </c>
      <c r="AQ35" s="107">
        <f>Table684[[#This Row],[Μαϊ-24]]*Table6[[#This Row],[Μαϊ-24]]</f>
        <v>9.8356253149405959E-4</v>
      </c>
      <c r="AR35" s="126">
        <f>Table684[[#This Row],[Ιουν-24]]*Table6[[#This Row],[Ιουν-24]]</f>
        <v>-1.0918633931381802E-3</v>
      </c>
      <c r="AS35" s="107">
        <f>Table684[[#This Row],[Ιουλ-24]]*Table6[[#This Row],[Ιουλ-24]]</f>
        <v>8.7447690689250316E-4</v>
      </c>
      <c r="AT35" s="107">
        <f>Table684[[#This Row],[Αυγ-24]]*Table6[[#This Row],[Αυγ-24]]</f>
        <v>1.7532060756810194E-4</v>
      </c>
      <c r="AU35" s="107">
        <f>Table684[[#This Row],[Σεπ-24]]*Table6[[#This Row],[Σεπ-24]]</f>
        <v>7.9109739286149512E-4</v>
      </c>
      <c r="AV35" s="107">
        <f>Table684[[#This Row],[Οκτ-24]]*Table6[[#This Row],[Οκτ-24]]</f>
        <v>-2.1536705493007649E-3</v>
      </c>
      <c r="AW35" s="107">
        <f>Table684[[#This Row],[Νοε-24]]*Table6[[#This Row],[Νοε-24]]</f>
        <v>3.0966775442969007E-4</v>
      </c>
      <c r="AX35" s="107">
        <f>Table684[[#This Row],[Δεκ-24]]*Table6[[#This Row],[Δεκ-24]]</f>
        <v>1.7093178289659587E-3</v>
      </c>
      <c r="AY35" s="126">
        <f>Table684[[#This Row],[Ιαν-25]]*Table6[[#This Row],[Ιαν-25]]</f>
        <v>2.0630626377085288E-3</v>
      </c>
      <c r="AZ35" s="107">
        <f>Table684[[#This Row],[Φεβ-25]]*Table6[[#This Row],[Φεβ-25]]</f>
        <v>-1.0036600193324488E-3</v>
      </c>
      <c r="BA35" s="107">
        <f>Table684[[#This Row],[Μαρ-25]]*Table6[[#This Row],[Μαρ-25]]</f>
        <v>-2.9571958735812305E-3</v>
      </c>
      <c r="BB35" s="107">
        <f>Table684[[#This Row],[Απρ-25]]*Table6[[#This Row],[Απρ-25]]</f>
        <v>-1.6759366764682838E-3</v>
      </c>
      <c r="BC35" s="107">
        <f>Table684[[#This Row],[Μαϊ-25]]*Table6[[#This Row],[Μαϊ-25]]</f>
        <v>2.192819948488061E-3</v>
      </c>
      <c r="BD35" s="126">
        <f>Table684[[#This Row],[Ιουν-25]]*Table6[[#This Row],[Ιουν-25]]</f>
        <v>-2.996002518098834E-3</v>
      </c>
      <c r="BE35" s="107"/>
      <c r="BF35" s="153" cm="1">
        <f t="array" ref="BF35">PRODUCT(1+Table68[[#This Row],[Ιαν-21]:[Ιουν-25]])-1</f>
        <v>-6.0210528153801235E-3</v>
      </c>
      <c r="BG35" s="112" t="s">
        <v>75</v>
      </c>
      <c r="BH35" s="112" t="str">
        <f>IF(Table68[[#This Row],[Cumulative Return ]]&lt;0,"Negative", IF(Table68[[#This Row],[Cumulative Return ]]&lt;0.025,"Positive","High Positive"))</f>
        <v>Negative</v>
      </c>
      <c r="BI35" s="113">
        <f>SLOPE(C35:BD35,$C$54:$BD$54)</f>
        <v>3.5435886705424476E-2</v>
      </c>
      <c r="BJ35" s="113"/>
      <c r="BK35" s="157"/>
      <c r="BM35" s="106" t="s">
        <v>86</v>
      </c>
      <c r="BN35" s="107">
        <v>2.0736035148757326E-2</v>
      </c>
    </row>
    <row r="36" spans="1:66">
      <c r="A36" s="110" t="s">
        <v>216</v>
      </c>
      <c r="B36" s="110" t="s">
        <v>217</v>
      </c>
      <c r="C36" s="126">
        <f>Table684[[#This Row],[Ιαν-21]]*Table6[[#This Row],[Ιαν-21]]</f>
        <v>1.1183506452628261E-4</v>
      </c>
      <c r="D36" s="107">
        <f>Table684[[#This Row],[Φεβ-21]]*Table6[[#This Row],[Φεβ-21]]</f>
        <v>4.2392449790332647E-3</v>
      </c>
      <c r="E36" s="107">
        <f>Table684[[#This Row],[Μαρ-21]]*Table6[[#This Row],[Μαρ-21]]</f>
        <v>4.7368592860493721E-3</v>
      </c>
      <c r="F36" s="107">
        <f>Table684[[#This Row],[Απρ-21]]*Table6[[#This Row],[Απρ-21]]</f>
        <v>-2.0379589352004075E-4</v>
      </c>
      <c r="G36" s="107">
        <f>Table684[[#This Row],[Μαϊ-21]]*Table6[[#This Row],[Μαϊ-21]]</f>
        <v>9.5142133929910307E-4</v>
      </c>
      <c r="H36" s="126">
        <f>Table684[[#This Row],[Ιουν-21]]*Table6[[#This Row],[Ιουν-21]]</f>
        <v>-1.9423984891406979E-4</v>
      </c>
      <c r="I36" s="107">
        <f>Table684[[#This Row],[Ιουλ-21]]*Table6[[#This Row],[Ιουλ-21]]</f>
        <v>-1.3241655060551387E-4</v>
      </c>
      <c r="J36" s="107">
        <f>Table684[[#This Row],[Αυγ-21]]*Table6[[#This Row],[Αυγ-21]]</f>
        <v>-1.4651936326740419E-3</v>
      </c>
      <c r="K36" s="107">
        <f>Table684[[#This Row],[Σεπ-21]]*Table6[[#This Row],[Σεπ-21]]</f>
        <v>1.9965145816277794E-3</v>
      </c>
      <c r="L36" s="107">
        <f>Table684[[#This Row],[Οκτ-21]]*Table6[[#This Row],[Οκτ-21]]</f>
        <v>3.3311847323251255E-3</v>
      </c>
      <c r="M36" s="107">
        <f>Table684[[#This Row],[Νοε-21]]*Table6[[#This Row],[Νοε-21]]</f>
        <v>-8.7589038935554568E-4</v>
      </c>
      <c r="N36" s="107">
        <f>Table684[[#This Row],[Δεκ-21]]*Table6[[#This Row],[Δεκ-21]]</f>
        <v>-1.0098119502630622E-3</v>
      </c>
      <c r="O36" s="126">
        <f>Table684[[#This Row],[Ιαν-22]]*Table6[[#This Row],[Ιαν-22]]</f>
        <v>1.1065785332074279E-3</v>
      </c>
      <c r="P36" s="107">
        <f>Table684[[#This Row],[Φεβ-22]]*Table6[[#This Row],[Φεβ-22]]</f>
        <v>-4.743169055065221E-4</v>
      </c>
      <c r="Q36" s="107">
        <f>Table684[[#This Row],[Μαρ-22]]*Table6[[#This Row],[Μαρ-22]]</f>
        <v>-2.5377200557857448E-3</v>
      </c>
      <c r="R36" s="107">
        <f>Table684[[#This Row],[Απρ-22]]*Table6[[#This Row],[Απρ-22]]</f>
        <v>1.1304499098724221E-3</v>
      </c>
      <c r="S36" s="107">
        <f>Table684[[#This Row],[Μαϊ-22]]*Table6[[#This Row],[Μαϊ-22]]</f>
        <v>2.4628033801905118E-3</v>
      </c>
      <c r="T36" s="126">
        <f>Table684[[#This Row],[Ιουν-22]]*Table6[[#This Row],[Ιουν-22]]</f>
        <v>-4.697072710103869E-3</v>
      </c>
      <c r="U36" s="107">
        <f>Table684[[#This Row],[Ιουλ-22]]*Table6[[#This Row],[Ιουλ-22]]</f>
        <v>8.836449657125781E-4</v>
      </c>
      <c r="V36" s="107">
        <f>Table684[[#This Row],[Αυγ-22]]*Table6[[#This Row],[Αυγ-22]]</f>
        <v>-5.0963327359879749E-4</v>
      </c>
      <c r="W36" s="107">
        <f>Table684[[#This Row],[Σεπ-22]]*Table6[[#This Row],[Σεπ-22]]</f>
        <v>-2.1873222201516233E-3</v>
      </c>
      <c r="X36" s="107">
        <f>Table684[[#This Row],[Οκτ-22]]*Table6[[#This Row],[Οκτ-22]]</f>
        <v>3.4380025005096471E-3</v>
      </c>
      <c r="Y36" s="107">
        <f>Table684[[#This Row],[Νοε-22]]*Table6[[#This Row],[Νοε-22]]</f>
        <v>2.8759018235999245E-3</v>
      </c>
      <c r="Z36" s="107">
        <f>Table684[[#This Row],[Δεκ-22]]*Table6[[#This Row],[Δεκ-22]]</f>
        <v>-1.4044650098132842E-3</v>
      </c>
      <c r="AA36" s="126">
        <f>Table684[[#This Row],[Ιαν-23]]*Table6[[#This Row],[Ιαν-23]]</f>
        <v>3.316792571608434E-3</v>
      </c>
      <c r="AB36" s="107">
        <f>Table684[[#This Row],[Φεβ-23]]*Table6[[#This Row],[Φεβ-23]]</f>
        <v>1.972857096810656E-3</v>
      </c>
      <c r="AC36" s="107">
        <f>Table684[[#This Row],[Μαρ-23]]*Table6[[#This Row],[Μαρ-23]]</f>
        <v>-8.5524709085720225E-4</v>
      </c>
      <c r="AD36" s="107">
        <f>Table684[[#This Row],[Απρ-23]]*Table6[[#This Row],[Απρ-23]]</f>
        <v>0</v>
      </c>
      <c r="AE36" s="107">
        <f>Table684[[#This Row],[Μαϊ-23]]*Table6[[#This Row],[Μαϊ-23]]</f>
        <v>2.0245107595387836E-3</v>
      </c>
      <c r="AF36" s="126">
        <f>Table684[[#This Row],[Ιουν-23]]*Table6[[#This Row],[Ιουν-23]]</f>
        <v>1.4832861189801694E-3</v>
      </c>
      <c r="AG36" s="107">
        <f>Table684[[#This Row],[Ιουλ-23]]*Table6[[#This Row],[Ιουλ-23]]</f>
        <v>-3.5060620856905726E-4</v>
      </c>
      <c r="AH36" s="107">
        <f>Table684[[#This Row],[Αυγ-23]]*Table6[[#This Row],[Αυγ-23]]</f>
        <v>-2.0542253047369703E-3</v>
      </c>
      <c r="AI36" s="107">
        <f>Table684[[#This Row],[Σεπ-23]]*Table6[[#This Row],[Σεπ-23]]</f>
        <v>-7.6125719486225848E-4</v>
      </c>
      <c r="AJ36" s="107">
        <f>Table684[[#This Row],[Οκτ-23]]*Table6[[#This Row],[Οκτ-23]]</f>
        <v>-4.1955707453054346E-3</v>
      </c>
      <c r="AK36" s="107">
        <f>Table684[[#This Row],[Νοε-23]]*Table6[[#This Row],[Νοε-23]]</f>
        <v>1.8082293646334141E-3</v>
      </c>
      <c r="AL36" s="107">
        <f>Table684[[#This Row],[Δεκ-23]]*Table6[[#This Row],[Δεκ-23]]</f>
        <v>1.1064623251027202E-3</v>
      </c>
      <c r="AM36" s="126">
        <f>Table684[[#This Row],[Ιαν-24]]*Table6[[#This Row],[Ιαν-24]]</f>
        <v>8.8290840415486277E-5</v>
      </c>
      <c r="AN36" s="107">
        <f>Table684[[#This Row],[Φεβ-24]]*Table6[[#This Row],[Φεβ-24]]</f>
        <v>5.2003766930150122E-3</v>
      </c>
      <c r="AO36" s="107">
        <f>Table684[[#This Row],[Μαρ-24]]*Table6[[#This Row],[Μαρ-24]]</f>
        <v>-1.6538139863148935E-5</v>
      </c>
      <c r="AP36" s="107">
        <f>Table684[[#This Row],[Απρ-24]]*Table6[[#This Row],[Απρ-24]]</f>
        <v>-1.2344897989768101E-3</v>
      </c>
      <c r="AQ36" s="107">
        <f>Table684[[#This Row],[Μαϊ-24]]*Table6[[#This Row],[Μαϊ-24]]</f>
        <v>3.4688535963108745E-4</v>
      </c>
      <c r="AR36" s="126">
        <f>Table684[[#This Row],[Ιουν-24]]*Table6[[#This Row],[Ιουν-24]]</f>
        <v>-1.0212307208057913E-3</v>
      </c>
      <c r="AS36" s="107">
        <f>Table684[[#This Row],[Ιουλ-24]]*Table6[[#This Row],[Ιουλ-24]]</f>
        <v>-1.5521131739693445E-3</v>
      </c>
      <c r="AT36" s="107">
        <f>Table684[[#This Row],[Αυγ-24]]*Table6[[#This Row],[Αυγ-24]]</f>
        <v>6.2951248648856367E-4</v>
      </c>
      <c r="AU36" s="107">
        <f>Table684[[#This Row],[Σεπ-24]]*Table6[[#This Row],[Σεπ-24]]</f>
        <v>-1.7637945125285918E-3</v>
      </c>
      <c r="AV36" s="107">
        <f>Table684[[#This Row],[Οκτ-24]]*Table6[[#This Row],[Οκτ-24]]</f>
        <v>-1.0505706774407721E-3</v>
      </c>
      <c r="AW36" s="107">
        <f>Table684[[#This Row],[Νοε-24]]*Table6[[#This Row],[Νοε-24]]</f>
        <v>-1.2093083113504674E-3</v>
      </c>
      <c r="AX36" s="107">
        <f>Table684[[#This Row],[Δεκ-24]]*Table6[[#This Row],[Δεκ-24]]</f>
        <v>4.0898040816906206E-4</v>
      </c>
      <c r="AY36" s="126">
        <f>Table684[[#This Row],[Ιαν-25]]*Table6[[#This Row],[Ιαν-25]]</f>
        <v>2.5280610638967571E-3</v>
      </c>
      <c r="AZ36" s="107">
        <f>Table684[[#This Row],[Φεβ-25]]*Table6[[#This Row],[Φεβ-25]]</f>
        <v>5.4338677359582594E-4</v>
      </c>
      <c r="BA36" s="107">
        <f>Table684[[#This Row],[Μαρ-25]]*Table6[[#This Row],[Μαρ-25]]</f>
        <v>-2.464649378584028E-3</v>
      </c>
      <c r="BB36" s="107">
        <f>Table684[[#This Row],[Απρ-25]]*Table6[[#This Row],[Απρ-25]]</f>
        <v>-8.1070788477233355E-4</v>
      </c>
      <c r="BC36" s="107">
        <f>Table684[[#This Row],[Μαϊ-25]]*Table6[[#This Row],[Μαϊ-25]]</f>
        <v>2.0817905780092264E-3</v>
      </c>
      <c r="BD36" s="126">
        <f>Table684[[#This Row],[Ιουν-25]]*Table6[[#This Row],[Ιουν-25]]</f>
        <v>-1.7599307522820262E-3</v>
      </c>
      <c r="BE36" s="107"/>
      <c r="BF36" s="153" cm="1">
        <f t="array" ref="BF36">PRODUCT(1+Table68[[#This Row],[Ιαν-21]:[Ιουν-25]])-1</f>
        <v>1.399191970841418E-2</v>
      </c>
      <c r="BG36" s="112" t="s">
        <v>75</v>
      </c>
      <c r="BH36" s="112" t="str">
        <f>IF(Table68[[#This Row],[Cumulative Return ]]&lt;0,"Negative", IF(Table68[[#This Row],[Cumulative Return ]]&lt;0.025,"Positive","High Positive"))</f>
        <v>Positive</v>
      </c>
      <c r="BI36" s="113">
        <f>SLOPE(C36:BD36,$C$54:$BD$54)</f>
        <v>3.4130993547506566E-2</v>
      </c>
      <c r="BJ36" s="113"/>
      <c r="BK36" s="157"/>
      <c r="BM36" s="106" t="s">
        <v>73</v>
      </c>
      <c r="BN36" s="107">
        <v>2.0866244566487557E-2</v>
      </c>
    </row>
    <row r="37" spans="1:66">
      <c r="A37" s="110" t="s">
        <v>222</v>
      </c>
      <c r="B37" s="110" t="s">
        <v>223</v>
      </c>
      <c r="C37" s="126">
        <f>Table684[[#This Row],[Ιαν-21]]*Table6[[#This Row],[Ιαν-21]]</f>
        <v>-9.0520407092644988E-4</v>
      </c>
      <c r="D37" s="107">
        <f>Table684[[#This Row],[Φεβ-21]]*Table6[[#This Row],[Φεβ-21]]</f>
        <v>1.6668838670057401E-3</v>
      </c>
      <c r="E37" s="107">
        <f>Table684[[#This Row],[Μαρ-21]]*Table6[[#This Row],[Μαρ-21]]</f>
        <v>4.4811750816681916E-4</v>
      </c>
      <c r="F37" s="107">
        <f>Table684[[#This Row],[Απρ-21]]*Table6[[#This Row],[Απρ-21]]</f>
        <v>9.951085724912176E-4</v>
      </c>
      <c r="G37" s="107">
        <f>Table684[[#This Row],[Μαϊ-21]]*Table6[[#This Row],[Μαϊ-21]]</f>
        <v>1.0952844409375646E-3</v>
      </c>
      <c r="H37" s="126">
        <f>Table684[[#This Row],[Ιουν-21]]*Table6[[#This Row],[Ιουν-21]]</f>
        <v>-9.5084461231769953E-4</v>
      </c>
      <c r="I37" s="107">
        <f>Table684[[#This Row],[Ιουλ-21]]*Table6[[#This Row],[Ιουλ-21]]</f>
        <v>-5.2942938995855654E-4</v>
      </c>
      <c r="J37" s="107">
        <f>Table684[[#This Row],[Αυγ-21]]*Table6[[#This Row],[Αυγ-21]]</f>
        <v>1.4940956192014765E-4</v>
      </c>
      <c r="K37" s="107">
        <f>Table684[[#This Row],[Σεπ-21]]*Table6[[#This Row],[Σεπ-21]]</f>
        <v>1.3235514103022783E-3</v>
      </c>
      <c r="L37" s="107">
        <f>Table684[[#This Row],[Οκτ-21]]*Table6[[#This Row],[Οκτ-21]]</f>
        <v>-1.0365515192861628E-4</v>
      </c>
      <c r="M37" s="107">
        <f>Table684[[#This Row],[Νοε-21]]*Table6[[#This Row],[Νοε-21]]</f>
        <v>-1.5221640874934998E-3</v>
      </c>
      <c r="N37" s="107">
        <f>Table684[[#This Row],[Δεκ-21]]*Table6[[#This Row],[Δεκ-21]]</f>
        <v>3.133447042647842E-4</v>
      </c>
      <c r="O37" s="126">
        <f>Table684[[#This Row],[Ιαν-22]]*Table6[[#This Row],[Ιαν-22]]</f>
        <v>-9.5388731507711625E-4</v>
      </c>
      <c r="P37" s="107">
        <f>Table684[[#This Row],[Φεβ-22]]*Table6[[#This Row],[Φεβ-22]]</f>
        <v>-1.6884949677233797E-3</v>
      </c>
      <c r="Q37" s="107">
        <f>Table684[[#This Row],[Μαρ-22]]*Table6[[#This Row],[Μαρ-22]]</f>
        <v>-2.1311052955463941E-3</v>
      </c>
      <c r="R37" s="107">
        <f>Table684[[#This Row],[Απρ-22]]*Table6[[#This Row],[Απρ-22]]</f>
        <v>4.3465759324769828E-4</v>
      </c>
      <c r="S37" s="107">
        <f>Table684[[#This Row],[Μαϊ-22]]*Table6[[#This Row],[Μαϊ-22]]</f>
        <v>1.2762720616296946E-3</v>
      </c>
      <c r="T37" s="126">
        <f>Table684[[#This Row],[Ιουν-22]]*Table6[[#This Row],[Ιουν-22]]</f>
        <v>-5.4312244255587004E-4</v>
      </c>
      <c r="U37" s="107">
        <f>Table684[[#This Row],[Ιουλ-22]]*Table6[[#This Row],[Ιουλ-22]]</f>
        <v>1.5500867698465389E-3</v>
      </c>
      <c r="V37" s="107">
        <f>Table684[[#This Row],[Αυγ-22]]*Table6[[#This Row],[Αυγ-22]]</f>
        <v>-1.4870969244331123E-3</v>
      </c>
      <c r="W37" s="107">
        <f>Table684[[#This Row],[Σεπ-22]]*Table6[[#This Row],[Σεπ-22]]</f>
        <v>-1.9734072394848249E-4</v>
      </c>
      <c r="X37" s="107">
        <f>Table684[[#This Row],[Οκτ-22]]*Table6[[#This Row],[Οκτ-22]]</f>
        <v>1.6416196974937518E-3</v>
      </c>
      <c r="Y37" s="107">
        <f>Table684[[#This Row],[Νοε-22]]*Table6[[#This Row],[Νοε-22]]</f>
        <v>1.4094565267476964E-3</v>
      </c>
      <c r="Z37" s="107">
        <f>Table684[[#This Row],[Δεκ-22]]*Table6[[#This Row],[Δεκ-22]]</f>
        <v>-6.774433858545123E-6</v>
      </c>
      <c r="AA37" s="126">
        <f>Table684[[#This Row],[Ιαν-23]]*Table6[[#This Row],[Ιαν-23]]</f>
        <v>2.3078900430175205E-3</v>
      </c>
      <c r="AB37" s="107">
        <f>Table684[[#This Row],[Φεβ-23]]*Table6[[#This Row],[Φεβ-23]]</f>
        <v>2.634938737845482E-4</v>
      </c>
      <c r="AC37" s="107">
        <f>Table684[[#This Row],[Μαρ-23]]*Table6[[#This Row],[Μαρ-23]]</f>
        <v>9.9801988001885396E-4</v>
      </c>
      <c r="AD37" s="107">
        <f>Table684[[#This Row],[Απρ-23]]*Table6[[#This Row],[Απρ-23]]</f>
        <v>4.7523732046354274E-4</v>
      </c>
      <c r="AE37" s="107">
        <f>Table684[[#This Row],[Μαϊ-23]]*Table6[[#This Row],[Μαϊ-23]]</f>
        <v>7.1310032074725058E-5</v>
      </c>
      <c r="AF37" s="126">
        <f>Table684[[#This Row],[Ιουν-23]]*Table6[[#This Row],[Ιουν-23]]</f>
        <v>2.0279613891511896E-3</v>
      </c>
      <c r="AG37" s="107">
        <f>Table684[[#This Row],[Ιουλ-23]]*Table6[[#This Row],[Ιουλ-23]]</f>
        <v>-3.0585116752497203E-4</v>
      </c>
      <c r="AH37" s="107">
        <f>Table684[[#This Row],[Αυγ-23]]*Table6[[#This Row],[Αυγ-23]]</f>
        <v>2.5397280289009066E-4</v>
      </c>
      <c r="AI37" s="107">
        <f>Table684[[#This Row],[Σεπ-23]]*Table6[[#This Row],[Σεπ-23]]</f>
        <v>-3.3288632312890785E-5</v>
      </c>
      <c r="AJ37" s="107">
        <f>Table684[[#This Row],[Οκτ-23]]*Table6[[#This Row],[Οκτ-23]]</f>
        <v>-1.0216871468343353E-3</v>
      </c>
      <c r="AK37" s="107">
        <f>Table684[[#This Row],[Νοε-23]]*Table6[[#This Row],[Νοε-23]]</f>
        <v>2.6731259357992226E-3</v>
      </c>
      <c r="AL37" s="107">
        <f>Table684[[#This Row],[Δεκ-23]]*Table6[[#This Row],[Δεκ-23]]</f>
        <v>7.4479670113167837E-4</v>
      </c>
      <c r="AM37" s="126">
        <f>Table684[[#This Row],[Ιαν-24]]*Table6[[#This Row],[Ιαν-24]]</f>
        <v>1.0801594795929067E-4</v>
      </c>
      <c r="AN37" s="107">
        <f>Table684[[#This Row],[Φεβ-24]]*Table6[[#This Row],[Φεβ-24]]</f>
        <v>4.9255116444912601E-4</v>
      </c>
      <c r="AO37" s="107">
        <f>Table684[[#This Row],[Μαρ-24]]*Table6[[#This Row],[Μαρ-24]]</f>
        <v>2.0748621515108557E-3</v>
      </c>
      <c r="AP37" s="107">
        <f>Table684[[#This Row],[Απρ-24]]*Table6[[#This Row],[Απρ-24]]</f>
        <v>-1.0702572759089511E-3</v>
      </c>
      <c r="AQ37" s="107">
        <f>Table684[[#This Row],[Μαϊ-24]]*Table6[[#This Row],[Μαϊ-24]]</f>
        <v>2.519726955848742E-4</v>
      </c>
      <c r="AR37" s="126">
        <f>Table684[[#This Row],[Ιουν-24]]*Table6[[#This Row],[Ιουν-24]]</f>
        <v>9.7822893715244922E-4</v>
      </c>
      <c r="AS37" s="107">
        <f>Table684[[#This Row],[Ιουλ-24]]*Table6[[#This Row],[Ιουλ-24]]</f>
        <v>-5.3077630661617608E-4</v>
      </c>
      <c r="AT37" s="107">
        <f>Table684[[#This Row],[Αυγ-24]]*Table6[[#This Row],[Αυγ-24]]</f>
        <v>1.4155059162143887E-3</v>
      </c>
      <c r="AU37" s="107">
        <f>Table684[[#This Row],[Σεπ-24]]*Table6[[#This Row],[Σεπ-24]]</f>
        <v>1.391551039988076E-3</v>
      </c>
      <c r="AV37" s="107">
        <f>Table684[[#This Row],[Οκτ-24]]*Table6[[#This Row],[Οκτ-24]]</f>
        <v>-2.6675941691198626E-5</v>
      </c>
      <c r="AW37" s="107">
        <f>Table684[[#This Row],[Νοε-24]]*Table6[[#This Row],[Νοε-24]]</f>
        <v>-4.1772673094320121E-5</v>
      </c>
      <c r="AX37" s="107">
        <f>Table684[[#This Row],[Δεκ-24]]*Table6[[#This Row],[Δεκ-24]]</f>
        <v>-8.666804396066242E-4</v>
      </c>
      <c r="AY37" s="126">
        <f>Table684[[#This Row],[Ιαν-25]]*Table6[[#This Row],[Ιαν-25]]</f>
        <v>9.4323785541915791E-4</v>
      </c>
      <c r="AZ37" s="107">
        <f>Table684[[#This Row],[Φεβ-25]]*Table6[[#This Row],[Φεβ-25]]</f>
        <v>-2.0565930360143253E-4</v>
      </c>
      <c r="BA37" s="107">
        <f>Table684[[#This Row],[Μαρ-25]]*Table6[[#This Row],[Μαρ-25]]</f>
        <v>-1.6678970278166691E-3</v>
      </c>
      <c r="BB37" s="107">
        <f>Table684[[#This Row],[Απρ-25]]*Table6[[#This Row],[Απρ-25]]</f>
        <v>6.1677586767814501E-4</v>
      </c>
      <c r="BC37" s="107">
        <f>Table684[[#This Row],[Μαϊ-25]]*Table6[[#This Row],[Μαϊ-25]]</f>
        <v>1.349742346658045E-4</v>
      </c>
      <c r="BD37" s="126">
        <f>Table684[[#This Row],[Ιουν-25]]*Table6[[#This Row],[Ιουν-25]]</f>
        <v>-1.128842723743573E-3</v>
      </c>
      <c r="BE37" s="107"/>
      <c r="BF37" s="153" cm="1">
        <f t="array" ref="BF37">PRODUCT(1+Table68[[#This Row],[Ιαν-21]:[Ιουν-25]])-1</f>
        <v>1.2654255523583124E-2</v>
      </c>
      <c r="BG37" s="112" t="s">
        <v>75</v>
      </c>
      <c r="BH37" s="112" t="str">
        <f>IF(Table68[[#This Row],[Cumulative Return ]]&lt;0,"Negative", IF(Table68[[#This Row],[Cumulative Return ]]&lt;0.025,"Positive","High Positive"))</f>
        <v>Positive</v>
      </c>
      <c r="BI37" s="113">
        <f>SLOPE(C37:BD37,$C$54:$BD$54)</f>
        <v>1.6744257377235467E-2</v>
      </c>
      <c r="BJ37" s="113"/>
      <c r="BK37" s="157"/>
      <c r="BM37" s="106" t="s">
        <v>156</v>
      </c>
      <c r="BN37" s="107">
        <v>2.1084065300776222E-2</v>
      </c>
    </row>
    <row r="38" spans="1:66">
      <c r="A38" s="110" t="s">
        <v>225</v>
      </c>
      <c r="B38" s="110" t="s">
        <v>226</v>
      </c>
      <c r="C38" s="126">
        <f>Table684[[#This Row],[Ιαν-21]]*Table6[[#This Row],[Ιαν-21]]</f>
        <v>-1.0143531633616616E-3</v>
      </c>
      <c r="D38" s="107">
        <f>Table684[[#This Row],[Φεβ-21]]*Table6[[#This Row],[Φεβ-21]]</f>
        <v>7.2448555503175794E-4</v>
      </c>
      <c r="E38" s="107">
        <f>Table684[[#This Row],[Μαρ-21]]*Table6[[#This Row],[Μαρ-21]]</f>
        <v>4.043523685666489E-4</v>
      </c>
      <c r="F38" s="107">
        <f>Table684[[#This Row],[Απρ-21]]*Table6[[#This Row],[Απρ-21]]</f>
        <v>-4.8339173235816506E-4</v>
      </c>
      <c r="G38" s="107">
        <f>Table684[[#This Row],[Μαϊ-21]]*Table6[[#This Row],[Μαϊ-21]]</f>
        <v>6.5154955422527924E-4</v>
      </c>
      <c r="H38" s="126">
        <f>Table684[[#This Row],[Ιουν-21]]*Table6[[#This Row],[Ιουν-21]]</f>
        <v>-3.3725737068513259E-4</v>
      </c>
      <c r="I38" s="107">
        <f>Table684[[#This Row],[Ιουλ-21]]*Table6[[#This Row],[Ιουλ-21]]</f>
        <v>-5.5996734644089363E-4</v>
      </c>
      <c r="J38" s="107">
        <f>Table684[[#This Row],[Αυγ-21]]*Table6[[#This Row],[Αυγ-21]]</f>
        <v>-4.765844320131265E-4</v>
      </c>
      <c r="K38" s="107">
        <f>Table684[[#This Row],[Σεπ-21]]*Table6[[#This Row],[Σεπ-21]]</f>
        <v>6.8117687831983757E-4</v>
      </c>
      <c r="L38" s="107">
        <f>Table684[[#This Row],[Οκτ-21]]*Table6[[#This Row],[Οκτ-21]]</f>
        <v>1.2985010887142607E-4</v>
      </c>
      <c r="M38" s="107">
        <f>Table684[[#This Row],[Νοε-21]]*Table6[[#This Row],[Νοε-21]]</f>
        <v>-1.7566847562908153E-4</v>
      </c>
      <c r="N38" s="107">
        <f>Table684[[#This Row],[Δεκ-21]]*Table6[[#This Row],[Δεκ-21]]</f>
        <v>4.2539823528148614E-4</v>
      </c>
      <c r="O38" s="126">
        <f>Table684[[#This Row],[Ιαν-22]]*Table6[[#This Row],[Ιαν-22]]</f>
        <v>1.2991291574860977E-4</v>
      </c>
      <c r="P38" s="107">
        <f>Table684[[#This Row],[Φεβ-22]]*Table6[[#This Row],[Φεβ-22]]</f>
        <v>-8.7205309788027441E-5</v>
      </c>
      <c r="Q38" s="107">
        <f>Table684[[#This Row],[Μαρ-22]]*Table6[[#This Row],[Μαρ-22]]</f>
        <v>-1.1485581259411348E-4</v>
      </c>
      <c r="R38" s="107">
        <f>Table684[[#This Row],[Απρ-22]]*Table6[[#This Row],[Απρ-22]]</f>
        <v>1.8117530229869622E-4</v>
      </c>
      <c r="S38" s="107">
        <f>Table684[[#This Row],[Μαϊ-22]]*Table6[[#This Row],[Μαϊ-22]]</f>
        <v>-3.7735674249594019E-4</v>
      </c>
      <c r="T38" s="126">
        <f>Table684[[#This Row],[Ιουν-22]]*Table6[[#This Row],[Ιουν-22]]</f>
        <v>-6.9602350225579667E-4</v>
      </c>
      <c r="U38" s="107">
        <f>Table684[[#This Row],[Ιουλ-22]]*Table6[[#This Row],[Ιουλ-22]]</f>
        <v>5.6845698615693601E-4</v>
      </c>
      <c r="V38" s="107">
        <f>Table684[[#This Row],[Αυγ-22]]*Table6[[#This Row],[Αυγ-22]]</f>
        <v>-6.1755308545505575E-4</v>
      </c>
      <c r="W38" s="107">
        <f>Table684[[#This Row],[Σεπ-22]]*Table6[[#This Row],[Σεπ-22]]</f>
        <v>-7.5522511667275955E-4</v>
      </c>
      <c r="X38" s="107">
        <f>Table684[[#This Row],[Οκτ-22]]*Table6[[#This Row],[Οκτ-22]]</f>
        <v>8.1713173338288092E-4</v>
      </c>
      <c r="Y38" s="107">
        <f>Table684[[#This Row],[Νοε-22]]*Table6[[#This Row],[Νοε-22]]</f>
        <v>-2.3340856248100445E-4</v>
      </c>
      <c r="Z38" s="107">
        <f>Table684[[#This Row],[Δεκ-22]]*Table6[[#This Row],[Δεκ-22]]</f>
        <v>-3.9633774431377416E-4</v>
      </c>
      <c r="AA38" s="126">
        <f>Table684[[#This Row],[Ιαν-23]]*Table6[[#This Row],[Ιαν-23]]</f>
        <v>1.6217605707690688E-3</v>
      </c>
      <c r="AB38" s="107">
        <f>Table684[[#This Row],[Φεβ-23]]*Table6[[#This Row],[Φεβ-23]]</f>
        <v>2.7660139090614466E-4</v>
      </c>
      <c r="AC38" s="107">
        <f>Table684[[#This Row],[Μαρ-23]]*Table6[[#This Row],[Μαρ-23]]</f>
        <v>3.6041243625250521E-4</v>
      </c>
      <c r="AD38" s="107">
        <f>Table684[[#This Row],[Απρ-23]]*Table6[[#This Row],[Απρ-23]]</f>
        <v>3.3040060085222465E-4</v>
      </c>
      <c r="AE38" s="107">
        <f>Table684[[#This Row],[Μαϊ-23]]*Table6[[#This Row],[Μαϊ-23]]</f>
        <v>4.8915088079304705E-4</v>
      </c>
      <c r="AF38" s="126">
        <f>Table684[[#This Row],[Ιουν-23]]*Table6[[#This Row],[Ιουν-23]]</f>
        <v>3.6048683244150655E-4</v>
      </c>
      <c r="AG38" s="107">
        <f>Table684[[#This Row],[Ιουλ-23]]*Table6[[#This Row],[Ιουλ-23]]</f>
        <v>-4.6661676458435112E-4</v>
      </c>
      <c r="AH38" s="107">
        <f>Table684[[#This Row],[Αυγ-23]]*Table6[[#This Row],[Αυγ-23]]</f>
        <v>-2.3683970087990782E-4</v>
      </c>
      <c r="AI38" s="107">
        <f>Table684[[#This Row],[Σεπ-23]]*Table6[[#This Row],[Σεπ-23]]</f>
        <v>-7.5797625451509633E-4</v>
      </c>
      <c r="AJ38" s="107">
        <f>Table684[[#This Row],[Οκτ-23]]*Table6[[#This Row],[Οκτ-23]]</f>
        <v>-4.4214164042607654E-4</v>
      </c>
      <c r="AK38" s="107">
        <f>Table684[[#This Row],[Νοε-23]]*Table6[[#This Row],[Νοε-23]]</f>
        <v>1.1966756912344802E-3</v>
      </c>
      <c r="AL38" s="107">
        <f>Table684[[#This Row],[Δεκ-23]]*Table6[[#This Row],[Δεκ-23]]</f>
        <v>2.518878704203016E-4</v>
      </c>
      <c r="AM38" s="126">
        <f>Table684[[#This Row],[Ιαν-24]]*Table6[[#This Row],[Ιαν-24]]</f>
        <v>8.3453992235861903E-5</v>
      </c>
      <c r="AN38" s="107">
        <f>Table684[[#This Row],[Φεβ-24]]*Table6[[#This Row],[Φεβ-24]]</f>
        <v>-1.4023046065700206E-3</v>
      </c>
      <c r="AO38" s="107">
        <f>Table684[[#This Row],[Μαρ-24]]*Table6[[#This Row],[Μαρ-24]]</f>
        <v>6.4163332327964184E-4</v>
      </c>
      <c r="AP38" s="107">
        <f>Table684[[#This Row],[Απρ-24]]*Table6[[#This Row],[Απρ-24]]</f>
        <v>3.8593104317934433E-5</v>
      </c>
      <c r="AQ38" s="107">
        <f>Table684[[#This Row],[Μαϊ-24]]*Table6[[#This Row],[Μαϊ-24]]</f>
        <v>6.7259862480997595E-4</v>
      </c>
      <c r="AR38" s="126">
        <f>Table684[[#This Row],[Ιουν-24]]*Table6[[#This Row],[Ιουν-24]]</f>
        <v>-4.215717133564158E-4</v>
      </c>
      <c r="AS38" s="107">
        <f>Table684[[#This Row],[Ιουλ-24]]*Table6[[#This Row],[Ιουλ-24]]</f>
        <v>-8.1952841733971035E-5</v>
      </c>
      <c r="AT38" s="107">
        <f>Table684[[#This Row],[Αυγ-24]]*Table6[[#This Row],[Αυγ-24]]</f>
        <v>2.6310460735940973E-5</v>
      </c>
      <c r="AU38" s="107">
        <f>Table684[[#This Row],[Σεπ-24]]*Table6[[#This Row],[Σεπ-24]]</f>
        <v>5.0855491889160434E-4</v>
      </c>
      <c r="AV38" s="107">
        <f>Table684[[#This Row],[Οκτ-24]]*Table6[[#This Row],[Οκτ-24]]</f>
        <v>2.1490360970751615E-4</v>
      </c>
      <c r="AW38" s="107">
        <f>Table684[[#This Row],[Νοε-24]]*Table6[[#This Row],[Νοε-24]]</f>
        <v>-2.3507183738507624E-5</v>
      </c>
      <c r="AX38" s="107">
        <f>Table684[[#This Row],[Δεκ-24]]*Table6[[#This Row],[Δεκ-24]]</f>
        <v>2.2854045150685079E-4</v>
      </c>
      <c r="AY38" s="126">
        <f>Table684[[#This Row],[Ιαν-25]]*Table6[[#This Row],[Ιαν-25]]</f>
        <v>4.2071136292099452E-4</v>
      </c>
      <c r="AZ38" s="107">
        <f>Table684[[#This Row],[Φεβ-25]]*Table6[[#This Row],[Φεβ-25]]</f>
        <v>2.0290772356331015E-4</v>
      </c>
      <c r="BA38" s="107">
        <f>Table684[[#This Row],[Μαρ-25]]*Table6[[#This Row],[Μαρ-25]]</f>
        <v>-2.4941093282608047E-4</v>
      </c>
      <c r="BB38" s="107">
        <f>Table684[[#This Row],[Απρ-25]]*Table6[[#This Row],[Απρ-25]]</f>
        <v>-1.516650004279219E-4</v>
      </c>
      <c r="BC38" s="107">
        <f>Table684[[#This Row],[Μαϊ-25]]*Table6[[#This Row],[Μαϊ-25]]</f>
        <v>4.794362709586614E-4</v>
      </c>
      <c r="BD38" s="126">
        <f>Table684[[#This Row],[Ιουν-25]]*Table6[[#This Row],[Ιουν-25]]</f>
        <v>-2.2283076277410547E-4</v>
      </c>
      <c r="BE38" s="107"/>
      <c r="BF38" s="153" cm="1">
        <f t="array" ref="BF38">PRODUCT(1+Table68[[#This Row],[Ιαν-21]:[Ιουν-25]])-1</f>
        <v>2.3310210767160111E-3</v>
      </c>
      <c r="BG38" s="112" t="s">
        <v>75</v>
      </c>
      <c r="BH38" s="112" t="str">
        <f>IF(Table68[[#This Row],[Cumulative Return ]]&lt;0,"Negative", IF(Table68[[#This Row],[Cumulative Return ]]&lt;0.025,"Positive","High Positive"))</f>
        <v>Positive</v>
      </c>
      <c r="BI38" s="113">
        <f>SLOPE(C38:BD38,$C$54:$BD$54)</f>
        <v>7.7338262927711555E-3</v>
      </c>
      <c r="BJ38" s="113"/>
      <c r="BK38" s="157"/>
      <c r="BM38" s="106" t="s">
        <v>125</v>
      </c>
      <c r="BN38" s="107">
        <v>2.4123586697385901E-2</v>
      </c>
    </row>
    <row r="39" spans="1:66">
      <c r="A39" s="110" t="s">
        <v>40</v>
      </c>
      <c r="B39" s="110" t="s">
        <v>41</v>
      </c>
      <c r="C39" s="126">
        <f>Table684[[#This Row],[Ιαν-21]]*Table6[[#This Row],[Ιαν-21]]</f>
        <v>3.4117665381387034E-3</v>
      </c>
      <c r="D39" s="107">
        <f>Table684[[#This Row],[Φεβ-21]]*Table6[[#This Row],[Φεβ-21]]</f>
        <v>2.1312675923119162E-3</v>
      </c>
      <c r="E39" s="107">
        <f>Table684[[#This Row],[Μαρ-21]]*Table6[[#This Row],[Μαρ-21]]</f>
        <v>4.0868533884333615E-3</v>
      </c>
      <c r="F39" s="107">
        <f>Table684[[#This Row],[Απρ-21]]*Table6[[#This Row],[Απρ-21]]</f>
        <v>1.7928955649979443E-3</v>
      </c>
      <c r="G39" s="107">
        <f>Table684[[#This Row],[Μαϊ-21]]*Table6[[#This Row],[Μαϊ-21]]</f>
        <v>5.5201745992887875E-4</v>
      </c>
      <c r="H39" s="126">
        <f>Table684[[#This Row],[Ιουν-21]]*Table6[[#This Row],[Ιουν-21]]</f>
        <v>1.9033384482215916E-3</v>
      </c>
      <c r="I39" s="107">
        <f>Table684[[#This Row],[Ιουλ-21]]*Table6[[#This Row],[Ιουλ-21]]</f>
        <v>3.4724331135517466E-3</v>
      </c>
      <c r="J39" s="107">
        <f>Table684[[#This Row],[Αυγ-21]]*Table6[[#This Row],[Αυγ-21]]</f>
        <v>3.7658386124790602E-3</v>
      </c>
      <c r="K39" s="107">
        <f>Table684[[#This Row],[Σεπ-21]]*Table6[[#This Row],[Σεπ-21]]</f>
        <v>-3.2836259342084047E-3</v>
      </c>
      <c r="L39" s="107">
        <f>Table684[[#This Row],[Οκτ-21]]*Table6[[#This Row],[Οκτ-21]]</f>
        <v>3.1294945950437543E-3</v>
      </c>
      <c r="M39" s="107">
        <f>Table684[[#This Row],[Νοε-21]]*Table6[[#This Row],[Νοε-21]]</f>
        <v>4.9955408553795739E-5</v>
      </c>
      <c r="N39" s="107">
        <f>Table684[[#This Row],[Δεκ-21]]*Table6[[#This Row],[Δεκ-21]]</f>
        <v>4.0442145904331142E-4</v>
      </c>
      <c r="O39" s="126">
        <f>Table684[[#This Row],[Ιαν-22]]*Table6[[#This Row],[Ιαν-22]]</f>
        <v>-5.15325647885846E-3</v>
      </c>
      <c r="P39" s="107">
        <f>Table684[[#This Row],[Φεβ-22]]*Table6[[#This Row],[Φεβ-22]]</f>
        <v>2.1686127802116037E-4</v>
      </c>
      <c r="Q39" s="107">
        <f>Table684[[#This Row],[Μαρ-22]]*Table6[[#This Row],[Μαρ-22]]</f>
        <v>5.307702322053904E-4</v>
      </c>
      <c r="R39" s="107">
        <f>Table684[[#This Row],[Απρ-22]]*Table6[[#This Row],[Απρ-22]]</f>
        <v>-2.9243069079450987E-3</v>
      </c>
      <c r="S39" s="107">
        <f>Table684[[#This Row],[Μαϊ-22]]*Table6[[#This Row],[Μαϊ-22]]</f>
        <v>-3.8714606745988094E-4</v>
      </c>
      <c r="T39" s="126">
        <f>Table684[[#This Row],[Ιουν-22]]*Table6[[#This Row],[Ιουν-22]]</f>
        <v>-4.8392703743048975E-3</v>
      </c>
      <c r="U39" s="107">
        <f>Table684[[#This Row],[Ιουλ-22]]*Table6[[#This Row],[Ιουλ-22]]</f>
        <v>6.5293074098248891E-3</v>
      </c>
      <c r="V39" s="107">
        <f>Table684[[#This Row],[Αυγ-22]]*Table6[[#This Row],[Αυγ-22]]</f>
        <v>-4.2997026273143991E-3</v>
      </c>
      <c r="W39" s="107">
        <f>Table684[[#This Row],[Σεπ-22]]*Table6[[#This Row],[Σεπ-22]]</f>
        <v>-3.330671732923101E-3</v>
      </c>
      <c r="X39" s="107">
        <f>Table684[[#This Row],[Οκτ-22]]*Table6[[#This Row],[Οκτ-22]]</f>
        <v>3.0575886590383746E-3</v>
      </c>
      <c r="Y39" s="107">
        <f>Table684[[#This Row],[Νοε-22]]*Table6[[#This Row],[Νοε-22]]</f>
        <v>5.432472554577409E-3</v>
      </c>
      <c r="Z39" s="107">
        <f>Table684[[#This Row],[Δεκ-22]]*Table6[[#This Row],[Δεκ-22]]</f>
        <v>-3.4180578326741345E-3</v>
      </c>
      <c r="AA39" s="126">
        <f>Table684[[#This Row],[Ιαν-23]]*Table6[[#This Row],[Ιαν-23]]</f>
        <v>6.3476984642220095E-3</v>
      </c>
      <c r="AB39" s="107">
        <f>Table684[[#This Row],[Φεβ-23]]*Table6[[#This Row],[Φεβ-23]]</f>
        <v>-1.0224838272786263E-3</v>
      </c>
      <c r="AC39" s="107">
        <f>Table684[[#This Row],[Μαρ-23]]*Table6[[#This Row],[Μαρ-23]]</f>
        <v>2.3884669013397811E-3</v>
      </c>
      <c r="AD39" s="107">
        <f>Table684[[#This Row],[Απρ-23]]*Table6[[#This Row],[Απρ-23]]</f>
        <v>-2.8857650134920748E-3</v>
      </c>
      <c r="AE39" s="107">
        <f>Table684[[#This Row],[Μαϊ-23]]*Table6[[#This Row],[Μαϊ-23]]</f>
        <v>5.5264595732977808E-3</v>
      </c>
      <c r="AF39" s="126">
        <f>Table684[[#This Row],[Ιουν-23]]*Table6[[#This Row],[Ιουν-23]]</f>
        <v>-4.1109520905466349E-4</v>
      </c>
      <c r="AG39" s="107">
        <f>Table684[[#This Row],[Ιουλ-23]]*Table6[[#This Row],[Ιουλ-23]]</f>
        <v>-5.0496359308621142E-4</v>
      </c>
      <c r="AH39" s="107">
        <f>Table684[[#This Row],[Αυγ-23]]*Table6[[#This Row],[Αυγ-23]]</f>
        <v>-1.9645057716874527E-3</v>
      </c>
      <c r="AI39" s="107">
        <f>Table684[[#This Row],[Σεπ-23]]*Table6[[#This Row],[Σεπ-23]]</f>
        <v>-2.2830238413189181E-3</v>
      </c>
      <c r="AJ39" s="107">
        <f>Table684[[#This Row],[Οκτ-23]]*Table6[[#This Row],[Οκτ-23]]</f>
        <v>2.9458652309305526E-4</v>
      </c>
      <c r="AK39" s="107">
        <f>Table684[[#This Row],[Νοε-23]]*Table6[[#This Row],[Νοε-23]]</f>
        <v>2.9290865368052366E-3</v>
      </c>
      <c r="AL39" s="107">
        <f>Table684[[#This Row],[Δεκ-23]]*Table6[[#This Row],[Δεκ-23]]</f>
        <v>2.6716436285227959E-3</v>
      </c>
      <c r="AM39" s="126">
        <f>Table684[[#This Row],[Ιαν-24]]*Table6[[#This Row],[Ιαν-24]]</f>
        <v>5.5319819864127553E-3</v>
      </c>
      <c r="AN39" s="107">
        <f>Table684[[#This Row],[Φεβ-24]]*Table6[[#This Row],[Φεβ-24]]</f>
        <v>3.4466858570174497E-3</v>
      </c>
      <c r="AO39" s="107">
        <f>Table684[[#This Row],[Μαρ-24]]*Table6[[#This Row],[Μαρ-24]]</f>
        <v>9.7974521208945013E-4</v>
      </c>
      <c r="AP39" s="107">
        <f>Table684[[#This Row],[Απρ-24]]*Table6[[#This Row],[Απρ-24]]</f>
        <v>-2.4728137428113657E-3</v>
      </c>
      <c r="AQ39" s="107">
        <f>Table684[[#This Row],[Μαϊ-24]]*Table6[[#This Row],[Μαϊ-24]]</f>
        <v>1.6408081393451304E-3</v>
      </c>
      <c r="AR39" s="126">
        <f>Table684[[#This Row],[Ιουν-24]]*Table6[[#This Row],[Ιουν-24]]</f>
        <v>3.4732689709894016E-3</v>
      </c>
      <c r="AS39" s="107">
        <f>Table684[[#This Row],[Ιουλ-24]]*Table6[[#This Row],[Ιουλ-24]]</f>
        <v>-4.2175149647480301E-3</v>
      </c>
      <c r="AT39" s="107">
        <f>Table684[[#This Row],[Αυγ-24]]*Table6[[#This Row],[Αυγ-24]]</f>
        <v>-1.4121687756182199E-3</v>
      </c>
      <c r="AU39" s="107">
        <f>Table684[[#This Row],[Σεπ-24]]*Table6[[#This Row],[Σεπ-24]]</f>
        <v>-2.3702163039641374E-3</v>
      </c>
      <c r="AV39" s="107">
        <f>Table684[[#This Row],[Οκτ-24]]*Table6[[#This Row],[Οκτ-24]]</f>
        <v>-4.3877306817926062E-3</v>
      </c>
      <c r="AW39" s="107">
        <f>Table684[[#This Row],[Νοε-24]]*Table6[[#This Row],[Νοε-24]]</f>
        <v>1.3613583983218263E-3</v>
      </c>
      <c r="AX39" s="107">
        <f>Table684[[#This Row],[Δεκ-24]]*Table6[[#This Row],[Δεκ-24]]</f>
        <v>7.2866329173630531E-4</v>
      </c>
      <c r="AY39" s="126">
        <f>Table684[[#This Row],[Ιαν-25]]*Table6[[#This Row],[Ιαν-25]]</f>
        <v>2.0975566572237949E-3</v>
      </c>
      <c r="AZ39" s="107">
        <f>Table684[[#This Row],[Φεβ-25]]*Table6[[#This Row],[Φεβ-25]]</f>
        <v>-1.889437336022069E-3</v>
      </c>
      <c r="BA39" s="107">
        <f>Table684[[#This Row],[Μαρ-25]]*Table6[[#This Row],[Μαρ-25]]</f>
        <v>-3.0704465788104103E-3</v>
      </c>
      <c r="BB39" s="107">
        <f>Table684[[#This Row],[Απρ-25]]*Table6[[#This Row],[Απρ-25]]</f>
        <v>-9.3849628309069274E-4</v>
      </c>
      <c r="BC39" s="107">
        <f>Table684[[#This Row],[Μαϊ-25]]*Table6[[#This Row],[Μαϊ-25]]</f>
        <v>3.0754152272176229E-3</v>
      </c>
      <c r="BD39" s="126">
        <f>Table684[[#This Row],[Ιουν-25]]*Table6[[#This Row],[Ιουν-25]]</f>
        <v>1.1717831943132929E-3</v>
      </c>
      <c r="BE39" s="107"/>
      <c r="BF39" s="153" cm="1">
        <f t="array" ref="BF39">PRODUCT(1+Table68[[#This Row],[Ιαν-21]:[Ιουν-25]])-1</f>
        <v>2.6757546944961019E-2</v>
      </c>
      <c r="BG39" s="112" t="s">
        <v>30</v>
      </c>
      <c r="BH39" s="112" t="str">
        <f>IF(Table68[[#This Row],[Cumulative Return ]]&lt;0,"Negative", IF(Table68[[#This Row],[Cumulative Return ]]&lt;0.025,"Positive","High Positive"))</f>
        <v>High Positive</v>
      </c>
      <c r="BI39" s="113">
        <f>SLOPE(C39:BD39,$C$54:$BD$54)</f>
        <v>5.4774060991768132E-2</v>
      </c>
      <c r="BJ39" s="113"/>
      <c r="BK39" s="157"/>
      <c r="BM39" s="106" t="s">
        <v>83</v>
      </c>
      <c r="BN39" s="107">
        <v>2.4357054449007709E-2</v>
      </c>
    </row>
    <row r="40" spans="1:66">
      <c r="A40" s="110" t="s">
        <v>233</v>
      </c>
      <c r="B40" s="110" t="s">
        <v>234</v>
      </c>
      <c r="C40" s="126">
        <f>Table684[[#This Row],[Ιαν-21]]*Table6[[#This Row],[Ιαν-21]]</f>
        <v>2.8920856940509903E-4</v>
      </c>
      <c r="D40" s="107">
        <f>Table684[[#This Row],[Φεβ-21]]*Table6[[#This Row],[Φεβ-21]]</f>
        <v>5.3326466478907501E-4</v>
      </c>
      <c r="E40" s="107">
        <f>Table684[[#This Row],[Μαρ-21]]*Table6[[#This Row],[Μαρ-21]]</f>
        <v>4.6337216804542703E-5</v>
      </c>
      <c r="F40" s="107">
        <f>Table684[[#This Row],[Απρ-21]]*Table6[[#This Row],[Απρ-21]]</f>
        <v>-4.3791490939373254E-4</v>
      </c>
      <c r="G40" s="107">
        <f>Table684[[#This Row],[Μαϊ-21]]*Table6[[#This Row],[Μαϊ-21]]</f>
        <v>-1.4230903342457533E-5</v>
      </c>
      <c r="H40" s="126">
        <f>Table684[[#This Row],[Ιουν-21]]*Table6[[#This Row],[Ιουν-21]]</f>
        <v>1.0964500708215292E-4</v>
      </c>
      <c r="I40" s="107">
        <f>Table684[[#This Row],[Ιουλ-21]]*Table6[[#This Row],[Ιουλ-21]]</f>
        <v>-2.8639457823821776E-4</v>
      </c>
      <c r="J40" s="107">
        <f>Table684[[#This Row],[Αυγ-21]]*Table6[[#This Row],[Αυγ-21]]</f>
        <v>6.1108346239569238E-4</v>
      </c>
      <c r="K40" s="107">
        <f>Table684[[#This Row],[Σεπ-21]]*Table6[[#This Row],[Σεπ-21]]</f>
        <v>-8.3232909160819863E-5</v>
      </c>
      <c r="L40" s="107">
        <f>Table684[[#This Row],[Οκτ-21]]*Table6[[#This Row],[Οκτ-21]]</f>
        <v>7.3033875657222335E-4</v>
      </c>
      <c r="M40" s="107">
        <f>Table684[[#This Row],[Νοε-21]]*Table6[[#This Row],[Νοε-21]]</f>
        <v>-4.0422922698521687E-5</v>
      </c>
      <c r="N40" s="107">
        <f>Table684[[#This Row],[Δεκ-21]]*Table6[[#This Row],[Δεκ-21]]</f>
        <v>1.0322246592334726E-4</v>
      </c>
      <c r="O40" s="126">
        <f>Table684[[#This Row],[Ιαν-22]]*Table6[[#This Row],[Ιαν-22]]</f>
        <v>-5.4557660528800731E-4</v>
      </c>
      <c r="P40" s="107">
        <f>Table684[[#This Row],[Φεβ-22]]*Table6[[#This Row],[Φεβ-22]]</f>
        <v>-8.0413032071652421E-4</v>
      </c>
      <c r="Q40" s="107">
        <f>Table684[[#This Row],[Μαρ-22]]*Table6[[#This Row],[Μαρ-22]]</f>
        <v>7.3197782088377727E-5</v>
      </c>
      <c r="R40" s="107">
        <f>Table684[[#This Row],[Απρ-22]]*Table6[[#This Row],[Απρ-22]]</f>
        <v>-4.8585359582366548E-4</v>
      </c>
      <c r="S40" s="107">
        <f>Table684[[#This Row],[Μαϊ-22]]*Table6[[#This Row],[Μαϊ-22]]</f>
        <v>2.4892193551061785E-4</v>
      </c>
      <c r="T40" s="126">
        <f>Table684[[#This Row],[Ιουν-22]]*Table6[[#This Row],[Ιουν-22]]</f>
        <v>-1.074203257790368E-3</v>
      </c>
      <c r="U40" s="107">
        <f>Table684[[#This Row],[Ιουλ-22]]*Table6[[#This Row],[Ιουλ-22]]</f>
        <v>6.9607982408038396E-4</v>
      </c>
      <c r="V40" s="107">
        <f>Table684[[#This Row],[Αυγ-22]]*Table6[[#This Row],[Αυγ-22]]</f>
        <v>-4.2840100070410699E-4</v>
      </c>
      <c r="W40" s="107">
        <f>Table684[[#This Row],[Σεπ-22]]*Table6[[#This Row],[Σεπ-22]]</f>
        <v>-3.8430616819598172E-4</v>
      </c>
      <c r="X40" s="107">
        <f>Table684[[#This Row],[Οκτ-22]]*Table6[[#This Row],[Οκτ-22]]</f>
        <v>4.7853088349078028E-4</v>
      </c>
      <c r="Y40" s="107">
        <f>Table684[[#This Row],[Νοε-22]]*Table6[[#This Row],[Νοε-22]]</f>
        <v>1.4532685667236448E-3</v>
      </c>
      <c r="Z40" s="107">
        <f>Table684[[#This Row],[Δεκ-22]]*Table6[[#This Row],[Δεκ-22]]</f>
        <v>-6.7042118076453554E-4</v>
      </c>
      <c r="AA40" s="126">
        <f>Table684[[#This Row],[Ιαν-23]]*Table6[[#This Row],[Ιαν-23]]</f>
        <v>8.5332418555240756E-4</v>
      </c>
      <c r="AB40" s="107">
        <f>Table684[[#This Row],[Φεβ-23]]*Table6[[#This Row],[Φεβ-23]]</f>
        <v>1.2576238861682407E-4</v>
      </c>
      <c r="AC40" s="107">
        <f>Table684[[#This Row],[Μαρ-23]]*Table6[[#This Row],[Μαρ-23]]</f>
        <v>7.1319367366386372E-4</v>
      </c>
      <c r="AD40" s="107">
        <f>Table684[[#This Row],[Απρ-23]]*Table6[[#This Row],[Απρ-23]]</f>
        <v>-7.9775330678771026E-4</v>
      </c>
      <c r="AE40" s="107">
        <f>Table684[[#This Row],[Μαϊ-23]]*Table6[[#This Row],[Μαϊ-23]]</f>
        <v>3.0426586821015369E-4</v>
      </c>
      <c r="AF40" s="126">
        <f>Table684[[#This Row],[Ιουν-23]]*Table6[[#This Row],[Ιουν-23]]</f>
        <v>4.4864406279508949E-4</v>
      </c>
      <c r="AG40" s="107">
        <f>Table684[[#This Row],[Ιουλ-23]]*Table6[[#This Row],[Ιουλ-23]]</f>
        <v>3.230284545886245E-4</v>
      </c>
      <c r="AH40" s="107">
        <f>Table684[[#This Row],[Αυγ-23]]*Table6[[#This Row],[Αυγ-23]]</f>
        <v>-9.9812682637882865E-4</v>
      </c>
      <c r="AI40" s="107">
        <f>Table684[[#This Row],[Σεπ-23]]*Table6[[#This Row],[Σεπ-23]]</f>
        <v>-2.506591760941741E-4</v>
      </c>
      <c r="AJ40" s="107">
        <f>Table684[[#This Row],[Οκτ-23]]*Table6[[#This Row],[Οκτ-23]]</f>
        <v>-5.5664583320454381E-4</v>
      </c>
      <c r="AK40" s="107">
        <f>Table684[[#This Row],[Νοε-23]]*Table6[[#This Row],[Νοε-23]]</f>
        <v>1.254133629402782E-3</v>
      </c>
      <c r="AL40" s="107">
        <f>Table684[[#This Row],[Δεκ-23]]*Table6[[#This Row],[Δεκ-23]]</f>
        <v>3.0768325764675793E-4</v>
      </c>
      <c r="AM40" s="126">
        <f>Table684[[#This Row],[Ιαν-24]]*Table6[[#This Row],[Ιαν-24]]</f>
        <v>-5.9271866147308757E-4</v>
      </c>
      <c r="AN40" s="107">
        <f>Table684[[#This Row],[Φεβ-24]]*Table6[[#This Row],[Φεβ-24]]</f>
        <v>-1.3874045297005088E-6</v>
      </c>
      <c r="AO40" s="107">
        <f>Table684[[#This Row],[Μαρ-24]]*Table6[[#This Row],[Μαρ-24]]</f>
        <v>-2.4220506435104378E-4</v>
      </c>
      <c r="AP40" s="107">
        <f>Table684[[#This Row],[Απρ-24]]*Table6[[#This Row],[Απρ-24]]</f>
        <v>1.4340295435967876E-4</v>
      </c>
      <c r="AQ40" s="107">
        <f>Table684[[#This Row],[Μαϊ-24]]*Table6[[#This Row],[Μαϊ-24]]</f>
        <v>5.6302011015513871E-4</v>
      </c>
      <c r="AR40" s="126">
        <f>Table684[[#This Row],[Ιουν-24]]*Table6[[#This Row],[Ιουν-24]]</f>
        <v>-3.9196765816808292E-4</v>
      </c>
      <c r="AS40" s="107">
        <f>Table684[[#This Row],[Ιουλ-24]]*Table6[[#This Row],[Ιουλ-24]]</f>
        <v>-2.9229253175040064E-4</v>
      </c>
      <c r="AT40" s="107">
        <f>Table684[[#This Row],[Αυγ-24]]*Table6[[#This Row],[Αυγ-24]]</f>
        <v>1.1221264024703534E-4</v>
      </c>
      <c r="AU40" s="107">
        <f>Table684[[#This Row],[Σεπ-24]]*Table6[[#This Row],[Σεπ-24]]</f>
        <v>-2.0667395906769841E-4</v>
      </c>
      <c r="AV40" s="107">
        <f>Table684[[#This Row],[Οκτ-24]]*Table6[[#This Row],[Οκτ-24]]</f>
        <v>-3.2229603366982644E-4</v>
      </c>
      <c r="AW40" s="107">
        <f>Table684[[#This Row],[Νοε-24]]*Table6[[#This Row],[Νοε-24]]</f>
        <v>2.1376346271873467E-4</v>
      </c>
      <c r="AX40" s="107">
        <f>Table684[[#This Row],[Δεκ-24]]*Table6[[#This Row],[Δεκ-24]]</f>
        <v>1.0367952168873752E-4</v>
      </c>
      <c r="AY40" s="126">
        <f>Table684[[#This Row],[Ιαν-25]]*Table6[[#This Row],[Ιαν-25]]</f>
        <v>1.8539010859301221E-5</v>
      </c>
      <c r="AZ40" s="107">
        <f>Table684[[#This Row],[Φεβ-25]]*Table6[[#This Row],[Φεβ-25]]</f>
        <v>6.2325961992493661E-4</v>
      </c>
      <c r="BA40" s="107">
        <f>Table684[[#This Row],[Μαρ-25]]*Table6[[#This Row],[Μαρ-25]]</f>
        <v>-6.7104158839297902E-4</v>
      </c>
      <c r="BB40" s="107">
        <f>Table684[[#This Row],[Απρ-25]]*Table6[[#This Row],[Απρ-25]]</f>
        <v>-2.6355531606872003E-4</v>
      </c>
      <c r="BC40" s="107">
        <f>Table684[[#This Row],[Μαϊ-25]]*Table6[[#This Row],[Μαϊ-25]]</f>
        <v>8.0216142735233279E-4</v>
      </c>
      <c r="BD40" s="126">
        <f>Table684[[#This Row],[Ιουν-25]]*Table6[[#This Row],[Ιουν-25]]</f>
        <v>2.8867888338054759E-4</v>
      </c>
      <c r="BE40" s="107"/>
      <c r="BF40" s="153" cm="1">
        <f t="array" ref="BF40">PRODUCT(1+Table68[[#This Row],[Ιαν-21]:[Ιουν-25]])-1</f>
        <v>1.7230488546708944E-3</v>
      </c>
      <c r="BG40" s="112" t="s">
        <v>30</v>
      </c>
      <c r="BH40" s="112" t="str">
        <f>IF(Table68[[#This Row],[Cumulative Return ]]&lt;0,"Negative", IF(Table68[[#This Row],[Cumulative Return ]]&lt;0.025,"Positive","High Positive"))</f>
        <v>Positive</v>
      </c>
      <c r="BI40" s="113">
        <f>SLOPE(C40:BD40,$C$54:$BD$54)</f>
        <v>9.8744198402935524E-3</v>
      </c>
      <c r="BJ40" s="113"/>
      <c r="BK40" s="157"/>
      <c r="BM40" s="106" t="s">
        <v>145</v>
      </c>
      <c r="BN40" s="107">
        <v>2.4415979293503254E-2</v>
      </c>
    </row>
    <row r="41" spans="1:66">
      <c r="A41" s="110" t="s">
        <v>28</v>
      </c>
      <c r="B41" s="110" t="s">
        <v>29</v>
      </c>
      <c r="C41" s="126">
        <f>Table684[[#This Row],[Ιαν-21]]*Table6[[#This Row],[Ιαν-21]]</f>
        <v>-7.8703179099779644E-4</v>
      </c>
      <c r="D41" s="107">
        <f>Table684[[#This Row],[Φεβ-21]]*Table6[[#This Row],[Φεβ-21]]</f>
        <v>-7.7433925357659513E-4</v>
      </c>
      <c r="E41" s="107">
        <f>Table684[[#This Row],[Μαρ-21]]*Table6[[#This Row],[Μαρ-21]]</f>
        <v>6.0225388608200331E-4</v>
      </c>
      <c r="F41" s="107">
        <f>Table684[[#This Row],[Απρ-21]]*Table6[[#This Row],[Απρ-21]]</f>
        <v>3.4814761443592158E-3</v>
      </c>
      <c r="G41" s="107">
        <f>Table684[[#This Row],[Μαϊ-21]]*Table6[[#This Row],[Μαϊ-21]]</f>
        <v>-5.3562126526765844E-5</v>
      </c>
      <c r="H41" s="126">
        <f>Table684[[#This Row],[Ιουν-21]]*Table6[[#This Row],[Ιουν-21]]</f>
        <v>1.3565942713251492E-3</v>
      </c>
      <c r="I41" s="107">
        <f>Table684[[#This Row],[Ιουλ-21]]*Table6[[#This Row],[Ιουλ-21]]</f>
        <v>5.7930608570598509E-4</v>
      </c>
      <c r="J41" s="107">
        <f>Table684[[#This Row],[Αυγ-21]]*Table6[[#This Row],[Αυγ-21]]</f>
        <v>1.8287813684958309E-3</v>
      </c>
      <c r="K41" s="107">
        <f>Table684[[#This Row],[Σεπ-21]]*Table6[[#This Row],[Σεπ-21]]</f>
        <v>-2.8252453919543519E-3</v>
      </c>
      <c r="L41" s="107">
        <f>Table684[[#This Row],[Οκτ-21]]*Table6[[#This Row],[Οκτ-21]]</f>
        <v>2.3240417812526721E-3</v>
      </c>
      <c r="M41" s="107">
        <f>Table684[[#This Row],[Νοε-21]]*Table6[[#This Row],[Νοε-21]]</f>
        <v>-3.2216925371434269E-3</v>
      </c>
      <c r="N41" s="107">
        <f>Table684[[#This Row],[Δεκ-21]]*Table6[[#This Row],[Δεκ-21]]</f>
        <v>3.3817573837550442E-3</v>
      </c>
      <c r="O41" s="126">
        <f>Table684[[#This Row],[Ιαν-22]]*Table6[[#This Row],[Ιαν-22]]</f>
        <v>-3.8523135033050036E-3</v>
      </c>
      <c r="P41" s="107">
        <f>Table684[[#This Row],[Φεβ-22]]*Table6[[#This Row],[Φεβ-22]]</f>
        <v>-2.9507871055048252E-3</v>
      </c>
      <c r="Q41" s="107">
        <f>Table684[[#This Row],[Μαρ-22]]*Table6[[#This Row],[Μαρ-22]]</f>
        <v>6.3830938399977384E-5</v>
      </c>
      <c r="R41" s="107">
        <f>Table684[[#This Row],[Απρ-22]]*Table6[[#This Row],[Απρ-22]]</f>
        <v>-1.3146465672895997E-3</v>
      </c>
      <c r="S41" s="107">
        <f>Table684[[#This Row],[Μαϊ-22]]*Table6[[#This Row],[Μαϊ-22]]</f>
        <v>-9.4832496966683682E-5</v>
      </c>
      <c r="T41" s="126">
        <f>Table684[[#This Row],[Ιουν-22]]*Table6[[#This Row],[Ιουν-22]]</f>
        <v>-2.5095268072605178E-3</v>
      </c>
      <c r="U41" s="107">
        <f>Table684[[#This Row],[Ιουλ-22]]*Table6[[#This Row],[Ιουλ-22]]</f>
        <v>1.8318494279681741E-3</v>
      </c>
      <c r="V41" s="107">
        <f>Table684[[#This Row],[Αυγ-22]]*Table6[[#This Row],[Αυγ-22]]</f>
        <v>-2.2337870222228183E-3</v>
      </c>
      <c r="W41" s="107">
        <f>Table684[[#This Row],[Σεπ-22]]*Table6[[#This Row],[Σεπ-22]]</f>
        <v>-8.3232765418587539E-4</v>
      </c>
      <c r="X41" s="107">
        <f>Table684[[#This Row],[Οκτ-22]]*Table6[[#This Row],[Οκτ-22]]</f>
        <v>5.9757962479853946E-3</v>
      </c>
      <c r="Y41" s="107">
        <f>Table684[[#This Row],[Νοε-22]]*Table6[[#This Row],[Νοε-22]]</f>
        <v>3.4451842531601803E-3</v>
      </c>
      <c r="Z41" s="107">
        <f>Table684[[#This Row],[Δεκ-22]]*Table6[[#This Row],[Δεκ-22]]</f>
        <v>-3.42854095839687E-3</v>
      </c>
      <c r="AA41" s="126">
        <f>Table684[[#This Row],[Ιαν-23]]*Table6[[#This Row],[Ιαν-23]]</f>
        <v>4.3528381072290403E-3</v>
      </c>
      <c r="AB41" s="107">
        <f>Table684[[#This Row],[Φεβ-23]]*Table6[[#This Row],[Φεβ-23]]</f>
        <v>-3.6713804109028507E-4</v>
      </c>
      <c r="AC41" s="107">
        <f>Table684[[#This Row],[Μαρ-23]]*Table6[[#This Row],[Μαρ-23]]</f>
        <v>2.8214841422421495E-3</v>
      </c>
      <c r="AD41" s="107">
        <f>Table684[[#This Row],[Απρ-23]]*Table6[[#This Row],[Απρ-23]]</f>
        <v>2.0829132157664529E-3</v>
      </c>
      <c r="AE41" s="107">
        <f>Table684[[#This Row],[Μαϊ-23]]*Table6[[#This Row],[Μαϊ-23]]</f>
        <v>3.9501317269608328E-4</v>
      </c>
      <c r="AF41" s="126">
        <f>Table684[[#This Row],[Ιουν-23]]*Table6[[#This Row],[Ιουν-23]]</f>
        <v>9.6998216346658248E-4</v>
      </c>
      <c r="AG41" s="107">
        <f>Table684[[#This Row],[Ιουλ-23]]*Table6[[#This Row],[Ιουλ-23]]</f>
        <v>-3.577756326366269E-4</v>
      </c>
      <c r="AH41" s="107">
        <f>Table684[[#This Row],[Αυγ-23]]*Table6[[#This Row],[Αυγ-23]]</f>
        <v>1.2974152191058187E-3</v>
      </c>
      <c r="AI41" s="107">
        <f>Table684[[#This Row],[Σεπ-23]]*Table6[[#This Row],[Σεπ-23]]</f>
        <v>-1.8366825493228273E-3</v>
      </c>
      <c r="AJ41" s="107">
        <f>Table684[[#This Row],[Οκτ-23]]*Table6[[#This Row],[Οκτ-23]]</f>
        <v>1.2540483104128064E-3</v>
      </c>
      <c r="AK41" s="107">
        <f>Table684[[#This Row],[Νοε-23]]*Table6[[#This Row],[Νοε-23]]</f>
        <v>5.6323378761291218E-3</v>
      </c>
      <c r="AL41" s="107">
        <f>Table684[[#This Row],[Δεκ-23]]*Table6[[#This Row],[Δεκ-23]]</f>
        <v>-1.7382338002621565E-3</v>
      </c>
      <c r="AM41" s="126">
        <f>Table684[[#This Row],[Ιαν-24]]*Table6[[#This Row],[Ιαν-24]]</f>
        <v>5.0777358094638535E-3</v>
      </c>
      <c r="AN41" s="107">
        <f>Table684[[#This Row],[Φεβ-24]]*Table6[[#This Row],[Φεβ-24]]</f>
        <v>3.26604480146649E-3</v>
      </c>
      <c r="AO41" s="107">
        <f>Table684[[#This Row],[Μαρ-24]]*Table6[[#This Row],[Μαρ-24]]</f>
        <v>1.6802697042756875E-3</v>
      </c>
      <c r="AP41" s="107">
        <f>Table684[[#This Row],[Απρ-24]]*Table6[[#This Row],[Απρ-24]]</f>
        <v>-2.4146768583812612E-3</v>
      </c>
      <c r="AQ41" s="107">
        <f>Table684[[#This Row],[Μαϊ-24]]*Table6[[#This Row],[Μαϊ-24]]</f>
        <v>9.0991563858731174E-5</v>
      </c>
      <c r="AR41" s="126">
        <f>Table684[[#This Row],[Ιουν-24]]*Table6[[#This Row],[Ιουν-24]]</f>
        <v>4.269992655545062E-3</v>
      </c>
      <c r="AS41" s="107">
        <f>Table684[[#This Row],[Ιουλ-24]]*Table6[[#This Row],[Ιουλ-24]]</f>
        <v>1.2754519241324968E-3</v>
      </c>
      <c r="AT41" s="107">
        <f>Table684[[#This Row],[Αυγ-24]]*Table6[[#This Row],[Αυγ-24]]</f>
        <v>6.6613787507713925E-4</v>
      </c>
      <c r="AU41" s="107">
        <f>Table684[[#This Row],[Σεπ-24]]*Table6[[#This Row],[Σεπ-24]]</f>
        <v>1.5297522105262289E-3</v>
      </c>
      <c r="AV41" s="107">
        <f>Table684[[#This Row],[Οκτ-24]]*Table6[[#This Row],[Οκτ-24]]</f>
        <v>1.6912879579152273E-3</v>
      </c>
      <c r="AW41" s="107">
        <f>Table684[[#This Row],[Νοε-24]]*Table6[[#This Row],[Νοε-24]]</f>
        <v>2.0050721652497012E-3</v>
      </c>
      <c r="AX41" s="107">
        <f>Table684[[#This Row],[Δεκ-24]]*Table6[[#This Row],[Δεκ-24]]</f>
        <v>2.3226142037784474E-3</v>
      </c>
      <c r="AY41" s="126">
        <f>Table684[[#This Row],[Ιαν-25]]*Table6[[#This Row],[Ιαν-25]]</f>
        <v>4.4494911341936821E-3</v>
      </c>
      <c r="AZ41" s="107">
        <f>Table684[[#This Row],[Φεβ-25]]*Table6[[#This Row],[Φεβ-25]]</f>
        <v>-2.1723905059129701E-4</v>
      </c>
      <c r="BA41" s="107">
        <f>Table684[[#This Row],[Μαρ-25]]*Table6[[#This Row],[Μαρ-25]]</f>
        <v>-2.2618543159745159E-3</v>
      </c>
      <c r="BB41" s="107">
        <f>Table684[[#This Row],[Απρ-25]]*Table6[[#This Row],[Απρ-25]]</f>
        <v>1.3752991147340519E-3</v>
      </c>
      <c r="BC41" s="107">
        <f>Table684[[#This Row],[Μαϊ-25]]*Table6[[#This Row],[Μαϊ-25]]</f>
        <v>1.4323613445548201E-3</v>
      </c>
      <c r="BD41" s="126">
        <f>Table684[[#This Row],[Ιουν-25]]*Table6[[#This Row],[Ιουν-25]]</f>
        <v>-1.1149617039135451E-3</v>
      </c>
      <c r="BE41" s="107"/>
      <c r="BF41" s="153" cm="1">
        <f t="array" ref="BF41">PRODUCT(1+Table68[[#This Row],[Ιαν-21]:[Ιουν-25]])-1</f>
        <v>4.0241814874333537E-2</v>
      </c>
      <c r="BG41" s="112" t="s">
        <v>30</v>
      </c>
      <c r="BH41" s="112" t="str">
        <f>IF(Table68[[#This Row],[Cumulative Return ]]&lt;0,"Negative", IF(Table68[[#This Row],[Cumulative Return ]]&lt;0.025,"Positive","High Positive"))</f>
        <v>High Positive</v>
      </c>
      <c r="BI41" s="113">
        <f>SLOPE(C41:BD41,$C$54:$BD$54)</f>
        <v>4.1704572870546415E-2</v>
      </c>
      <c r="BJ41" s="113"/>
      <c r="BK41" s="157"/>
      <c r="BM41" s="106" t="s">
        <v>80</v>
      </c>
      <c r="BN41" s="107">
        <v>2.453741286530331E-2</v>
      </c>
    </row>
    <row r="42" spans="1:66">
      <c r="A42" s="110" t="s">
        <v>238</v>
      </c>
      <c r="B42" s="110" t="s">
        <v>239</v>
      </c>
      <c r="C42" s="126">
        <f>Table684[[#This Row],[Ιαν-21]]*Table6[[#This Row],[Ιαν-21]]</f>
        <v>3.5596878203110471E-3</v>
      </c>
      <c r="D42" s="107">
        <f>Table684[[#This Row],[Φεβ-21]]*Table6[[#This Row],[Φεβ-21]]</f>
        <v>3.3584577131274967E-3</v>
      </c>
      <c r="E42" s="107">
        <f>Table684[[#This Row],[Μαρ-21]]*Table6[[#This Row],[Μαρ-21]]</f>
        <v>5.7007746508504261E-3</v>
      </c>
      <c r="F42" s="107">
        <f>Table684[[#This Row],[Απρ-21]]*Table6[[#This Row],[Απρ-21]]</f>
        <v>1.9727286749985297E-3</v>
      </c>
      <c r="G42" s="107">
        <f>Table684[[#This Row],[Μαϊ-21]]*Table6[[#This Row],[Μαϊ-21]]</f>
        <v>2.064195246297848E-3</v>
      </c>
      <c r="H42" s="126">
        <f>Table684[[#This Row],[Ιουν-21]]*Table6[[#This Row],[Ιουν-21]]</f>
        <v>4.897265155664255E-4</v>
      </c>
      <c r="I42" s="107">
        <f>Table684[[#This Row],[Ιουλ-21]]*Table6[[#This Row],[Ιουλ-21]]</f>
        <v>3.1543357401690973E-3</v>
      </c>
      <c r="J42" s="107">
        <f>Table684[[#This Row],[Αυγ-21]]*Table6[[#This Row],[Αυγ-21]]</f>
        <v>7.536592757558634E-4</v>
      </c>
      <c r="K42" s="107">
        <f>Table684[[#This Row],[Σεπ-21]]*Table6[[#This Row],[Σεπ-21]]</f>
        <v>-2.0290589515253002E-3</v>
      </c>
      <c r="L42" s="107">
        <f>Table684[[#This Row],[Οκτ-21]]*Table6[[#This Row],[Οκτ-21]]</f>
        <v>8.7030320710202098E-4</v>
      </c>
      <c r="M42" s="107">
        <f>Table684[[#This Row],[Νοε-21]]*Table6[[#This Row],[Νοε-21]]</f>
        <v>-2.1320896533114316E-3</v>
      </c>
      <c r="N42" s="107">
        <f>Table684[[#This Row],[Δεκ-21]]*Table6[[#This Row],[Δεκ-21]]</f>
        <v>3.7351708155186777E-3</v>
      </c>
      <c r="O42" s="126">
        <f>Table684[[#This Row],[Ιαν-22]]*Table6[[#This Row],[Ιαν-22]]</f>
        <v>-1.3379288300522662E-3</v>
      </c>
      <c r="P42" s="107">
        <f>Table684[[#This Row],[Φεβ-22]]*Table6[[#This Row],[Φεβ-22]]</f>
        <v>-2.2490819790215127E-3</v>
      </c>
      <c r="Q42" s="107">
        <f>Table684[[#This Row],[Μαρ-22]]*Table6[[#This Row],[Μαρ-22]]</f>
        <v>-1.0589496376445285E-3</v>
      </c>
      <c r="R42" s="107">
        <f>Table684[[#This Row],[Απρ-22]]*Table6[[#This Row],[Απρ-22]]</f>
        <v>1.2789884547311132E-3</v>
      </c>
      <c r="S42" s="107">
        <f>Table684[[#This Row],[Μαϊ-22]]*Table6[[#This Row],[Μαϊ-22]]</f>
        <v>-7.5718749793646581E-4</v>
      </c>
      <c r="T42" s="126">
        <f>Table684[[#This Row],[Ιουν-22]]*Table6[[#This Row],[Ιουν-22]]</f>
        <v>-9.5789615180061575E-3</v>
      </c>
      <c r="U42" s="107">
        <f>Table684[[#This Row],[Ιουλ-22]]*Table6[[#This Row],[Ιουλ-22]]</f>
        <v>3.2187269414715768E-3</v>
      </c>
      <c r="V42" s="107">
        <f>Table684[[#This Row],[Αυγ-22]]*Table6[[#This Row],[Αυγ-22]]</f>
        <v>-3.4441819500741783E-3</v>
      </c>
      <c r="W42" s="107">
        <f>Table684[[#This Row],[Σεπ-22]]*Table6[[#This Row],[Σεπ-22]]</f>
        <v>-2.407486860070225E-3</v>
      </c>
      <c r="X42" s="107">
        <f>Table684[[#This Row],[Οκτ-22]]*Table6[[#This Row],[Οκτ-22]]</f>
        <v>3.3484008795962024E-3</v>
      </c>
      <c r="Y42" s="107">
        <f>Table684[[#This Row],[Νοε-22]]*Table6[[#This Row],[Νοε-22]]</f>
        <v>1.680202149409032E-3</v>
      </c>
      <c r="Z42" s="107">
        <f>Table684[[#This Row],[Δεκ-22]]*Table6[[#This Row],[Δεκ-22]]</f>
        <v>1.2667513742310619E-3</v>
      </c>
      <c r="AA42" s="126">
        <f>Table684[[#This Row],[Ιαν-23]]*Table6[[#This Row],[Ιαν-23]]</f>
        <v>5.635967272883206E-3</v>
      </c>
      <c r="AB42" s="107">
        <f>Table684[[#This Row],[Φεβ-23]]*Table6[[#This Row],[Φεβ-23]]</f>
        <v>2.8311895487261435E-3</v>
      </c>
      <c r="AC42" s="107">
        <f>Table684[[#This Row],[Μαρ-23]]*Table6[[#This Row],[Μαρ-23]]</f>
        <v>-2.9510665002956756E-3</v>
      </c>
      <c r="AD42" s="107">
        <f>Table684[[#This Row],[Απρ-23]]*Table6[[#This Row],[Απρ-23]]</f>
        <v>7.3287857556376406E-5</v>
      </c>
      <c r="AE42" s="107">
        <f>Table684[[#This Row],[Μαϊ-23]]*Table6[[#This Row],[Μαϊ-23]]</f>
        <v>-4.4215998320441851E-4</v>
      </c>
      <c r="AF42" s="126">
        <f>Table684[[#This Row],[Ιουν-23]]*Table6[[#This Row],[Ιουν-23]]</f>
        <v>2.8289348402662845E-3</v>
      </c>
      <c r="AG42" s="107">
        <f>Table684[[#This Row],[Ιουλ-23]]*Table6[[#This Row],[Ιουλ-23]]</f>
        <v>4.0122027396157865E-3</v>
      </c>
      <c r="AH42" s="107">
        <f>Table684[[#This Row],[Αυγ-23]]*Table6[[#This Row],[Αυγ-23]]</f>
        <v>-9.0236291330294269E-4</v>
      </c>
      <c r="AI42" s="107">
        <f>Table684[[#This Row],[Σεπ-23]]*Table6[[#This Row],[Σεπ-23]]</f>
        <v>-2.2856449757759369E-3</v>
      </c>
      <c r="AJ42" s="107">
        <f>Table684[[#This Row],[Οκτ-23]]*Table6[[#This Row],[Οκτ-23]]</f>
        <v>-3.8758262154488742E-3</v>
      </c>
      <c r="AK42" s="107">
        <f>Table684[[#This Row],[Νοε-23]]*Table6[[#This Row],[Νοε-23]]</f>
        <v>6.1894554512454247E-3</v>
      </c>
      <c r="AL42" s="107">
        <f>Table684[[#This Row],[Δεκ-23]]*Table6[[#This Row],[Δεκ-23]]</f>
        <v>4.6344153428814908E-3</v>
      </c>
      <c r="AM42" s="126">
        <f>Table684[[#This Row],[Ιαν-24]]*Table6[[#This Row],[Ιαν-24]]</f>
        <v>-4.5867883076532726E-4</v>
      </c>
      <c r="AN42" s="107">
        <f>Table684[[#This Row],[Φεβ-24]]*Table6[[#This Row],[Φεβ-24]]</f>
        <v>2.9475494707093364E-3</v>
      </c>
      <c r="AO42" s="107">
        <f>Table684[[#This Row],[Μαρ-24]]*Table6[[#This Row],[Μαρ-24]]</f>
        <v>3.8801772143559876E-4</v>
      </c>
      <c r="AP42" s="107">
        <f>Table684[[#This Row],[Απρ-24]]*Table6[[#This Row],[Απρ-24]]</f>
        <v>1.3752548243417659E-3</v>
      </c>
      <c r="AQ42" s="107">
        <f>Table684[[#This Row],[Μαϊ-24]]*Table6[[#This Row],[Μαϊ-24]]</f>
        <v>2.9887975679081919E-3</v>
      </c>
      <c r="AR42" s="126">
        <f>Table684[[#This Row],[Ιουν-24]]*Table6[[#This Row],[Ιουν-24]]</f>
        <v>-3.6833751889681346E-3</v>
      </c>
      <c r="AS42" s="107">
        <f>Table684[[#This Row],[Ιουλ-24]]*Table6[[#This Row],[Ιουλ-24]]</f>
        <v>3.1929358150576096E-3</v>
      </c>
      <c r="AT42" s="107">
        <f>Table684[[#This Row],[Αυγ-24]]*Table6[[#This Row],[Αυγ-24]]</f>
        <v>-1.6395133017789779E-4</v>
      </c>
      <c r="AU42" s="107">
        <f>Table684[[#This Row],[Σεπ-24]]*Table6[[#This Row],[Σεπ-24]]</f>
        <v>1.1705655080052602E-3</v>
      </c>
      <c r="AV42" s="107">
        <f>Table684[[#This Row],[Οκτ-24]]*Table6[[#This Row],[Οκτ-24]]</f>
        <v>5.5873989580293622E-4</v>
      </c>
      <c r="AW42" s="107">
        <f>Table684[[#This Row],[Νοε-24]]*Table6[[#This Row],[Νοε-24]]</f>
        <v>1.5239344135080637E-3</v>
      </c>
      <c r="AX42" s="107">
        <f>Table684[[#This Row],[Δεκ-24]]*Table6[[#This Row],[Δεκ-24]]</f>
        <v>-2.8508384213158733E-4</v>
      </c>
      <c r="AY42" s="126">
        <f>Table684[[#This Row],[Ιαν-25]]*Table6[[#This Row],[Ιαν-25]]</f>
        <v>2.1232403248858281E-3</v>
      </c>
      <c r="AZ42" s="107">
        <f>Table684[[#This Row],[Φεβ-25]]*Table6[[#This Row],[Φεβ-25]]</f>
        <v>2.4821124171499789E-3</v>
      </c>
      <c r="BA42" s="107">
        <f>Table684[[#This Row],[Μαρ-25]]*Table6[[#This Row],[Μαρ-25]]</f>
        <v>-1.932433049933885E-3</v>
      </c>
      <c r="BB42" s="107">
        <f>Table684[[#This Row],[Απρ-25]]*Table6[[#This Row],[Απρ-25]]</f>
        <v>1.4964583688591086E-3</v>
      </c>
      <c r="BC42" s="107">
        <f>Table684[[#This Row],[Μαϊ-25]]*Table6[[#This Row],[Μαϊ-25]]</f>
        <v>1.3053414902771459E-3</v>
      </c>
      <c r="BD42" s="126">
        <f>Table684[[#This Row],[Ιουν-25]]*Table6[[#This Row],[Ιουν-25]]</f>
        <v>3.0179872727361155E-4</v>
      </c>
      <c r="BE42" s="107"/>
      <c r="BF42" s="153" cm="1">
        <f t="array" ref="BF42">PRODUCT(1+Table68[[#This Row],[Ιαν-21]:[Ιουν-25]])-1</f>
        <v>4.3212346059779305E-2</v>
      </c>
      <c r="BG42" s="112" t="s">
        <v>89</v>
      </c>
      <c r="BH42" s="112" t="str">
        <f>IF(Table68[[#This Row],[Cumulative Return ]]&lt;0,"Negative", IF(Table68[[#This Row],[Cumulative Return ]]&lt;0.025,"Positive","High Positive"))</f>
        <v>High Positive</v>
      </c>
      <c r="BI42" s="113">
        <f>SLOPE(C42:BD42,$C$54:$BD$54)</f>
        <v>5.9809644177399264E-2</v>
      </c>
      <c r="BJ42" s="113"/>
      <c r="BK42" s="157"/>
      <c r="BM42" s="106" t="s">
        <v>40</v>
      </c>
      <c r="BN42" s="107">
        <v>2.6757546944961019E-2</v>
      </c>
    </row>
    <row r="43" spans="1:66">
      <c r="A43" s="110" t="s">
        <v>244</v>
      </c>
      <c r="B43" s="110" t="s">
        <v>245</v>
      </c>
      <c r="C43" s="126">
        <f>Table684[[#This Row],[Ιαν-21]]*Table6[[#This Row],[Ιαν-21]]</f>
        <v>-3.9622136727295764E-4</v>
      </c>
      <c r="D43" s="107">
        <f>Table684[[#This Row],[Φεβ-21]]*Table6[[#This Row],[Φεβ-21]]</f>
        <v>1.7558080033178475E-3</v>
      </c>
      <c r="E43" s="107">
        <f>Table684[[#This Row],[Μαρ-21]]*Table6[[#This Row],[Μαρ-21]]</f>
        <v>1.345430445210746E-3</v>
      </c>
      <c r="F43" s="107">
        <f>Table684[[#This Row],[Απρ-21]]*Table6[[#This Row],[Απρ-21]]</f>
        <v>-1.523413179211032E-3</v>
      </c>
      <c r="G43" s="107">
        <f>Table684[[#This Row],[Μαϊ-21]]*Table6[[#This Row],[Μαϊ-21]]</f>
        <v>-1.6731353641423138E-4</v>
      </c>
      <c r="H43" s="126">
        <f>Table684[[#This Row],[Ιουν-21]]*Table6[[#This Row],[Ιουν-21]]</f>
        <v>-9.5091952719641298E-5</v>
      </c>
      <c r="I43" s="107">
        <f>Table684[[#This Row],[Ιουλ-21]]*Table6[[#This Row],[Ιουλ-21]]</f>
        <v>-9.3628842173808845E-5</v>
      </c>
      <c r="J43" s="107">
        <f>Table684[[#This Row],[Αυγ-21]]*Table6[[#This Row],[Αυγ-21]]</f>
        <v>-2.9408183510548733E-4</v>
      </c>
      <c r="K43" s="107">
        <f>Table684[[#This Row],[Σεπ-21]]*Table6[[#This Row],[Σεπ-21]]</f>
        <v>1.3508216530827932E-4</v>
      </c>
      <c r="L43" s="107">
        <f>Table684[[#This Row],[Οκτ-21]]*Table6[[#This Row],[Οκτ-21]]</f>
        <v>-1.4957700438696557E-3</v>
      </c>
      <c r="M43" s="107">
        <f>Table684[[#This Row],[Νοε-21]]*Table6[[#This Row],[Νοε-21]]</f>
        <v>-1.763767765688154E-3</v>
      </c>
      <c r="N43" s="107">
        <f>Table684[[#This Row],[Δεκ-21]]*Table6[[#This Row],[Δεκ-21]]</f>
        <v>1.6269071607124506E-3</v>
      </c>
      <c r="O43" s="126">
        <f>Table684[[#This Row],[Ιαν-22]]*Table6[[#This Row],[Ιαν-22]]</f>
        <v>2.6770123989811466E-3</v>
      </c>
      <c r="P43" s="107">
        <f>Table684[[#This Row],[Φεβ-22]]*Table6[[#This Row],[Φεβ-22]]</f>
        <v>-3.8901605363752807E-3</v>
      </c>
      <c r="Q43" s="107">
        <f>Table684[[#This Row],[Μαρ-22]]*Table6[[#This Row],[Μαρ-22]]</f>
        <v>-3.653476301951843E-3</v>
      </c>
      <c r="R43" s="107">
        <f>Table684[[#This Row],[Απρ-22]]*Table6[[#This Row],[Απρ-22]]</f>
        <v>-6.4862192517187807E-4</v>
      </c>
      <c r="S43" s="107">
        <f>Table684[[#This Row],[Μαϊ-22]]*Table6[[#This Row],[Μαϊ-22]]</f>
        <v>4.1921754268600588E-4</v>
      </c>
      <c r="T43" s="126">
        <f>Table684[[#This Row],[Ιουν-22]]*Table6[[#This Row],[Ιουν-22]]</f>
        <v>-5.4856228162821711E-3</v>
      </c>
      <c r="U43" s="107">
        <f>Table684[[#This Row],[Ιουλ-22]]*Table6[[#This Row],[Ιουλ-22]]</f>
        <v>1.1529672442442929E-3</v>
      </c>
      <c r="V43" s="107">
        <f>Table684[[#This Row],[Αυγ-22]]*Table6[[#This Row],[Αυγ-22]]</f>
        <v>-7.7296606179007808E-4</v>
      </c>
      <c r="W43" s="107">
        <f>Table684[[#This Row],[Σεπ-22]]*Table6[[#This Row],[Σεπ-22]]</f>
        <v>-1.4958638923795297E-3</v>
      </c>
      <c r="X43" s="107">
        <f>Table684[[#This Row],[Οκτ-22]]*Table6[[#This Row],[Οκτ-22]]</f>
        <v>3.7285003750387627E-3</v>
      </c>
      <c r="Y43" s="107">
        <f>Table684[[#This Row],[Νοε-22]]*Table6[[#This Row],[Νοε-22]]</f>
        <v>1.8319539211931453E-3</v>
      </c>
      <c r="Z43" s="107">
        <f>Table684[[#This Row],[Δεκ-22]]*Table6[[#This Row],[Δεκ-22]]</f>
        <v>-1.173006662428016E-3</v>
      </c>
      <c r="AA43" s="126">
        <f>Table684[[#This Row],[Ιαν-23]]*Table6[[#This Row],[Ιαν-23]]</f>
        <v>3.7328152330469763E-3</v>
      </c>
      <c r="AB43" s="107">
        <f>Table684[[#This Row],[Φεβ-23]]*Table6[[#This Row],[Φεβ-23]]</f>
        <v>-2.2354216749607926E-3</v>
      </c>
      <c r="AC43" s="107">
        <f>Table684[[#This Row],[Μαρ-23]]*Table6[[#This Row],[Μαρ-23]]</f>
        <v>-6.4353935928459501E-5</v>
      </c>
      <c r="AD43" s="107">
        <f>Table684[[#This Row],[Απρ-23]]*Table6[[#This Row],[Απρ-23]]</f>
        <v>-8.4149516160912207E-4</v>
      </c>
      <c r="AE43" s="107">
        <f>Table684[[#This Row],[Μαϊ-23]]*Table6[[#This Row],[Μαϊ-23]]</f>
        <v>-1.3204724998904654E-3</v>
      </c>
      <c r="AF43" s="126">
        <f>Table684[[#This Row],[Ιουν-23]]*Table6[[#This Row],[Ιουν-23]]</f>
        <v>3.5679554026180844E-5</v>
      </c>
      <c r="AG43" s="107">
        <f>Table684[[#This Row],[Ιουλ-23]]*Table6[[#This Row],[Ιουλ-23]]</f>
        <v>2.704019473137499E-3</v>
      </c>
      <c r="AH43" s="107">
        <f>Table684[[#This Row],[Αυγ-23]]*Table6[[#This Row],[Αυγ-23]]</f>
        <v>-1.2198286534871091E-3</v>
      </c>
      <c r="AI43" s="107">
        <f>Table684[[#This Row],[Σεπ-23]]*Table6[[#This Row],[Σεπ-23]]</f>
        <v>-2.411528993747442E-3</v>
      </c>
      <c r="AJ43" s="107">
        <f>Table684[[#This Row],[Οκτ-23]]*Table6[[#This Row],[Οκτ-23]]</f>
        <v>3.7287729324294038E-4</v>
      </c>
      <c r="AK43" s="107">
        <f>Table684[[#This Row],[Νοε-23]]*Table6[[#This Row],[Νοε-23]]</f>
        <v>-5.637696667143416E-4</v>
      </c>
      <c r="AL43" s="107">
        <f>Table684[[#This Row],[Δεκ-23]]*Table6[[#This Row],[Δεκ-23]]</f>
        <v>3.7162457505319027E-3</v>
      </c>
      <c r="AM43" s="126">
        <f>Table684[[#This Row],[Ιαν-24]]*Table6[[#This Row],[Ιαν-24]]</f>
        <v>-2.5516925467794654E-3</v>
      </c>
      <c r="AN43" s="107">
        <f>Table684[[#This Row],[Φεβ-24]]*Table6[[#This Row],[Φεβ-24]]</f>
        <v>1.5185103637438669E-3</v>
      </c>
      <c r="AO43" s="107">
        <f>Table684[[#This Row],[Μαρ-24]]*Table6[[#This Row],[Μαρ-24]]</f>
        <v>3.2862859814085329E-3</v>
      </c>
      <c r="AP43" s="107">
        <f>Table684[[#This Row],[Απρ-24]]*Table6[[#This Row],[Απρ-24]]</f>
        <v>-2.0081088028252986E-3</v>
      </c>
      <c r="AQ43" s="107">
        <f>Table684[[#This Row],[Μαϊ-24]]*Table6[[#This Row],[Μαϊ-24]]</f>
        <v>-3.9717400944047979E-4</v>
      </c>
      <c r="AR43" s="126">
        <f>Table684[[#This Row],[Ιουν-24]]*Table6[[#This Row],[Ιουν-24]]</f>
        <v>-1.9194686820660156E-3</v>
      </c>
      <c r="AS43" s="107">
        <f>Table684[[#This Row],[Ιουλ-24]]*Table6[[#This Row],[Ιουλ-24]]</f>
        <v>-1.2555392501209077E-3</v>
      </c>
      <c r="AT43" s="107">
        <f>Table684[[#This Row],[Αυγ-24]]*Table6[[#This Row],[Αυγ-24]]</f>
        <v>1.6108813689025988E-3</v>
      </c>
      <c r="AU43" s="107">
        <f>Table684[[#This Row],[Σεπ-24]]*Table6[[#This Row],[Σεπ-24]]</f>
        <v>9.7237682685690191E-4</v>
      </c>
      <c r="AV43" s="107">
        <f>Table684[[#This Row],[Οκτ-24]]*Table6[[#This Row],[Οκτ-24]]</f>
        <v>-1.6597800771339596E-3</v>
      </c>
      <c r="AW43" s="107">
        <f>Table684[[#This Row],[Νοε-24]]*Table6[[#This Row],[Νοε-24]]</f>
        <v>-1.2980022201701759E-3</v>
      </c>
      <c r="AX43" s="107">
        <f>Table684[[#This Row],[Δεκ-24]]*Table6[[#This Row],[Δεκ-24]]</f>
        <v>2.2917700605526631E-5</v>
      </c>
      <c r="AY43" s="126">
        <f>Table684[[#This Row],[Ιαν-25]]*Table6[[#This Row],[Ιαν-25]]</f>
        <v>2.8161416850521321E-3</v>
      </c>
      <c r="AZ43" s="107">
        <f>Table684[[#This Row],[Φεβ-25]]*Table6[[#This Row],[Φεβ-25]]</f>
        <v>1.6392813451520175E-3</v>
      </c>
      <c r="BA43" s="107">
        <f>Table684[[#This Row],[Μαρ-25]]*Table6[[#This Row],[Μαρ-25]]</f>
        <v>-1.9902670118859475E-3</v>
      </c>
      <c r="BB43" s="107">
        <f>Table684[[#This Row],[Απρ-25]]*Table6[[#This Row],[Απρ-25]]</f>
        <v>-7.7695996455780789E-4</v>
      </c>
      <c r="BC43" s="107">
        <f>Table684[[#This Row],[Μαϊ-25]]*Table6[[#This Row],[Μαϊ-25]]</f>
        <v>-1.3592821417250018E-3</v>
      </c>
      <c r="BD43" s="126">
        <f>Table684[[#This Row],[Ιουν-25]]*Table6[[#This Row],[Ιουν-25]]</f>
        <v>-3.6695625716952275E-4</v>
      </c>
      <c r="BE43" s="107"/>
      <c r="BF43" s="153" cm="1">
        <f t="array" ref="BF43">PRODUCT(1+Table68[[#This Row],[Ιαν-21]:[Ιουν-25]])-1</f>
        <v>-1.0141023126303161E-2</v>
      </c>
      <c r="BG43" s="112" t="s">
        <v>89</v>
      </c>
      <c r="BH43" s="112" t="str">
        <f>IF(Table68[[#This Row],[Cumulative Return ]]&lt;0,"Negative", IF(Table68[[#This Row],[Cumulative Return ]]&lt;0.025,"Positive","High Positive"))</f>
        <v>Negative</v>
      </c>
      <c r="BI43" s="113">
        <f>SLOPE(C43:BD43,$C$54:$BD$54)</f>
        <v>3.0764156087263E-2</v>
      </c>
      <c r="BJ43" s="113"/>
      <c r="BK43" s="157"/>
      <c r="BM43" s="106" t="s">
        <v>45</v>
      </c>
      <c r="BN43" s="107">
        <v>2.7732144022799332E-2</v>
      </c>
    </row>
    <row r="44" spans="1:66">
      <c r="A44" s="110" t="s">
        <v>247</v>
      </c>
      <c r="B44" s="110" t="s">
        <v>248</v>
      </c>
      <c r="C44" s="126">
        <f>Table684[[#This Row],[Ιαν-21]]*Table6[[#This Row],[Ιαν-21]]</f>
        <v>-9.1910607491343992E-5</v>
      </c>
      <c r="D44" s="107">
        <f>Table684[[#This Row],[Φεβ-21]]*Table6[[#This Row],[Φεβ-21]]</f>
        <v>-1.5863036041724321E-4</v>
      </c>
      <c r="E44" s="107">
        <f>Table684[[#This Row],[Μαρ-21]]*Table6[[#This Row],[Μαρ-21]]</f>
        <v>1.2517076872830784E-4</v>
      </c>
      <c r="F44" s="107">
        <f>Table684[[#This Row],[Απρ-21]]*Table6[[#This Row],[Απρ-21]]</f>
        <v>-1.5549969654066525E-6</v>
      </c>
      <c r="G44" s="107">
        <f>Table684[[#This Row],[Μαϊ-21]]*Table6[[#This Row],[Μαϊ-21]]</f>
        <v>-8.4472699511003944E-5</v>
      </c>
      <c r="H44" s="126">
        <f>Table684[[#This Row],[Ιουν-21]]*Table6[[#This Row],[Ιουν-21]]</f>
        <v>4.2555870317909959E-5</v>
      </c>
      <c r="I44" s="107">
        <f>Table684[[#This Row],[Ιουλ-21]]*Table6[[#This Row],[Ιουλ-21]]</f>
        <v>-7.1512076752759316E-5</v>
      </c>
      <c r="J44" s="107">
        <f>Table684[[#This Row],[Αυγ-21]]*Table6[[#This Row],[Αυγ-21]]</f>
        <v>1.1969061452506167E-4</v>
      </c>
      <c r="K44" s="107">
        <f>Table684[[#This Row],[Σεπ-21]]*Table6[[#This Row],[Σεπ-21]]</f>
        <v>1.613423859001654E-5</v>
      </c>
      <c r="L44" s="107">
        <f>Table684[[#This Row],[Οκτ-21]]*Table6[[#This Row],[Οκτ-21]]</f>
        <v>1.0670491963535559E-4</v>
      </c>
      <c r="M44" s="107">
        <f>Table684[[#This Row],[Νοε-21]]*Table6[[#This Row],[Νοε-21]]</f>
        <v>-2.8698999694284986E-4</v>
      </c>
      <c r="N44" s="107">
        <f>Table684[[#This Row],[Δεκ-21]]*Table6[[#This Row],[Δεκ-21]]</f>
        <v>-1.0262308408849949E-4</v>
      </c>
      <c r="O44" s="126">
        <f>Table684[[#This Row],[Ιαν-22]]*Table6[[#This Row],[Ιαν-22]]</f>
        <v>-1.4579792256846075E-4</v>
      </c>
      <c r="P44" s="107">
        <f>Table684[[#This Row],[Φεβ-22]]*Table6[[#This Row],[Φεβ-22]]</f>
        <v>2.5802799957695818E-4</v>
      </c>
      <c r="Q44" s="107">
        <f>Table684[[#This Row],[Μαρ-22]]*Table6[[#This Row],[Μαρ-22]]</f>
        <v>-1.1698651913399735E-4</v>
      </c>
      <c r="R44" s="107">
        <f>Table684[[#This Row],[Απρ-22]]*Table6[[#This Row],[Απρ-22]]</f>
        <v>-1.0775937219069573E-4</v>
      </c>
      <c r="S44" s="107">
        <f>Table684[[#This Row],[Μαϊ-22]]*Table6[[#This Row],[Μαϊ-22]]</f>
        <v>-3.7439700869650997E-5</v>
      </c>
      <c r="T44" s="126">
        <f>Table684[[#This Row],[Ιουν-22]]*Table6[[#This Row],[Ιουν-22]]</f>
        <v>-1.927604658482845E-4</v>
      </c>
      <c r="U44" s="107">
        <f>Table684[[#This Row],[Ιουλ-22]]*Table6[[#This Row],[Ιουλ-22]]</f>
        <v>3.0464722551360384E-4</v>
      </c>
      <c r="V44" s="107">
        <f>Table684[[#This Row],[Αυγ-22]]*Table6[[#This Row],[Αυγ-22]]</f>
        <v>-2.1356436520129529E-5</v>
      </c>
      <c r="W44" s="107">
        <f>Table684[[#This Row],[Σεπ-22]]*Table6[[#This Row],[Σεπ-22]]</f>
        <v>-3.4306865305018227E-4</v>
      </c>
      <c r="X44" s="107">
        <f>Table684[[#This Row],[Οκτ-22]]*Table6[[#This Row],[Οκτ-22]]</f>
        <v>5.3300900419816271E-5</v>
      </c>
      <c r="Y44" s="107">
        <f>Table684[[#This Row],[Νοε-22]]*Table6[[#This Row],[Νοε-22]]</f>
        <v>2.3515254903775656E-4</v>
      </c>
      <c r="Z44" s="107">
        <f>Table684[[#This Row],[Δεκ-22]]*Table6[[#This Row],[Δεκ-22]]</f>
        <v>1.584430008971854E-4</v>
      </c>
      <c r="AA44" s="126">
        <f>Table684[[#This Row],[Ιαν-23]]*Table6[[#This Row],[Ιαν-23]]</f>
        <v>-2.1152030217186016E-5</v>
      </c>
      <c r="AB44" s="107">
        <f>Table684[[#This Row],[Φεβ-23]]*Table6[[#This Row],[Φεβ-23]]</f>
        <v>9.7620465084789925E-6</v>
      </c>
      <c r="AC44" s="107">
        <f>Table684[[#This Row],[Μαρ-23]]*Table6[[#This Row],[Μαρ-23]]</f>
        <v>-9.6742501557143338E-6</v>
      </c>
      <c r="AD44" s="107">
        <f>Table684[[#This Row],[Απρ-23]]*Table6[[#This Row],[Απρ-23]]</f>
        <v>-7.0857505259670978E-5</v>
      </c>
      <c r="AE44" s="107">
        <f>Table684[[#This Row],[Μαϊ-23]]*Table6[[#This Row],[Μαϊ-23]]</f>
        <v>6.5563864063988581E-5</v>
      </c>
      <c r="AF44" s="126">
        <f>Table684[[#This Row],[Ιουν-23]]*Table6[[#This Row],[Ιουν-23]]</f>
        <v>-1.0701920050361974E-4</v>
      </c>
      <c r="AG44" s="107">
        <f>Table684[[#This Row],[Ιουλ-23]]*Table6[[#This Row],[Ιουλ-23]]</f>
        <v>1.1167308197603172E-7</v>
      </c>
      <c r="AH44" s="107">
        <f>Table684[[#This Row],[Αυγ-23]]*Table6[[#This Row],[Αυγ-23]]</f>
        <v>-1.3655222963670434E-4</v>
      </c>
      <c r="AI44" s="107">
        <f>Table684[[#This Row],[Σεπ-23]]*Table6[[#This Row],[Σεπ-23]]</f>
        <v>-4.6172169700619501E-5</v>
      </c>
      <c r="AJ44" s="107">
        <f>Table684[[#This Row],[Οκτ-23]]*Table6[[#This Row],[Οκτ-23]]</f>
        <v>3.5868045509117542E-6</v>
      </c>
      <c r="AK44" s="107">
        <f>Table684[[#This Row],[Νοε-23]]*Table6[[#This Row],[Νοε-23]]</f>
        <v>2.4283340352524785E-4</v>
      </c>
      <c r="AL44" s="107">
        <f>Table684[[#This Row],[Δεκ-23]]*Table6[[#This Row],[Δεκ-23]]</f>
        <v>1.4786118853253274E-4</v>
      </c>
      <c r="AM44" s="126">
        <f>Table684[[#This Row],[Ιαν-24]]*Table6[[#This Row],[Ιαν-24]]</f>
        <v>-1.0361976707585769E-4</v>
      </c>
      <c r="AN44" s="107">
        <f>Table684[[#This Row],[Φεβ-24]]*Table6[[#This Row],[Φεβ-24]]</f>
        <v>-2.7261906171362982E-5</v>
      </c>
      <c r="AO44" s="107">
        <f>Table684[[#This Row],[Μαρ-24]]*Table6[[#This Row],[Μαρ-24]]</f>
        <v>5.3579318674607297E-6</v>
      </c>
      <c r="AP44" s="107">
        <f>Table684[[#This Row],[Απρ-24]]*Table6[[#This Row],[Απρ-24]]</f>
        <v>-2.4393997460569658E-5</v>
      </c>
      <c r="AQ44" s="107">
        <f>Table684[[#This Row],[Μαϊ-24]]*Table6[[#This Row],[Μαϊ-24]]</f>
        <v>2.3563817658467692E-5</v>
      </c>
      <c r="AR44" s="126">
        <f>Table684[[#This Row],[Ιουν-24]]*Table6[[#This Row],[Ιουν-24]]</f>
        <v>-2.0610638967579471E-4</v>
      </c>
      <c r="AS44" s="107">
        <f>Table684[[#This Row],[Ιουλ-24]]*Table6[[#This Row],[Ιουλ-24]]</f>
        <v>5.880535472638244E-5</v>
      </c>
      <c r="AT44" s="107">
        <f>Table684[[#This Row],[Αυγ-24]]*Table6[[#This Row],[Αυγ-24]]</f>
        <v>-9.8305745430313167E-5</v>
      </c>
      <c r="AU44" s="107">
        <f>Table684[[#This Row],[Σεπ-24]]*Table6[[#This Row],[Σεπ-24]]</f>
        <v>-4.3407591529361951E-5</v>
      </c>
      <c r="AV44" s="107">
        <f>Table684[[#This Row],[Οκτ-24]]*Table6[[#This Row],[Οκτ-24]]</f>
        <v>-1.1801562628754112E-4</v>
      </c>
      <c r="AW44" s="107">
        <f>Table684[[#This Row],[Νοε-24]]*Table6[[#This Row],[Νοε-24]]</f>
        <v>-1.2398333672956823E-4</v>
      </c>
      <c r="AX44" s="107">
        <f>Table684[[#This Row],[Δεκ-24]]*Table6[[#This Row],[Δεκ-24]]</f>
        <v>-7.3014992941050727E-5</v>
      </c>
      <c r="AY44" s="126">
        <f>Table684[[#This Row],[Ιαν-25]]*Table6[[#This Row],[Ιαν-25]]</f>
        <v>1.0198300283286116E-5</v>
      </c>
      <c r="AZ44" s="107">
        <f>Table684[[#This Row],[Φεβ-25]]*Table6[[#This Row],[Φεβ-25]]</f>
        <v>3.0071861739028876E-5</v>
      </c>
      <c r="BA44" s="107">
        <f>Table684[[#This Row],[Μαρ-25]]*Table6[[#This Row],[Μαρ-25]]</f>
        <v>-7.4048188152960883E-5</v>
      </c>
      <c r="BB44" s="107">
        <f>Table684[[#This Row],[Απρ-25]]*Table6[[#This Row],[Απρ-25]]</f>
        <v>-8.3227595550713204E-5</v>
      </c>
      <c r="BC44" s="107">
        <f>Table684[[#This Row],[Μαϊ-25]]*Table6[[#This Row],[Μαϊ-25]]</f>
        <v>1.9125617831927796E-4</v>
      </c>
      <c r="BD44" s="126">
        <f>Table684[[#This Row],[Ιουν-25]]*Table6[[#This Row],[Ιουν-25]]</f>
        <v>-1.0538243626062318E-4</v>
      </c>
      <c r="BE44" s="107"/>
      <c r="BF44" s="153" cm="1">
        <f t="array" ref="BF44">PRODUCT(1+Table68[[#This Row],[Ιαν-21]:[Ιουν-25]])-1</f>
        <v>-1.0261889580597261E-3</v>
      </c>
      <c r="BG44" s="112" t="s">
        <v>98</v>
      </c>
      <c r="BH44" s="112" t="str">
        <f>IF(Table68[[#This Row],[Cumulative Return ]]&lt;0,"Negative", IF(Table68[[#This Row],[Cumulative Return ]]&lt;0.025,"Positive","High Positive"))</f>
        <v>Negative</v>
      </c>
      <c r="BI44" s="113">
        <f>SLOPE(C44:BD44,$C$54:$BD$54)</f>
        <v>1.7983779761746972E-3</v>
      </c>
      <c r="BJ44" s="113"/>
      <c r="BK44" s="157"/>
      <c r="BM44" s="106" t="s">
        <v>134</v>
      </c>
      <c r="BN44" s="107">
        <v>2.8264430440877897E-2</v>
      </c>
    </row>
    <row r="45" spans="1:66">
      <c r="A45" s="110" t="s">
        <v>176</v>
      </c>
      <c r="B45" s="111" t="s">
        <v>177</v>
      </c>
      <c r="C45" s="126">
        <f>Table684[[#This Row],[Ιαν-21]]*Table6[[#This Row],[Ιαν-21]]</f>
        <v>-8.1904728841489379E-4</v>
      </c>
      <c r="D45" s="107">
        <f>Table684[[#This Row],[Φεβ-21]]*Table6[[#This Row],[Φεβ-21]]</f>
        <v>-1.7638164833852356E-3</v>
      </c>
      <c r="E45" s="107">
        <f>Table684[[#This Row],[Μαρ-21]]*Table6[[#This Row],[Μαρ-21]]</f>
        <v>1.2494211718419575E-3</v>
      </c>
      <c r="F45" s="107">
        <f>Table684[[#This Row],[Απρ-21]]*Table6[[#This Row],[Απρ-21]]</f>
        <v>5.234984544755806E-4</v>
      </c>
      <c r="G45" s="107">
        <f>Table684[[#This Row],[Μαϊ-21]]*Table6[[#This Row],[Μαϊ-21]]</f>
        <v>-4.941251673437132E-4</v>
      </c>
      <c r="H45" s="126">
        <f>Table684[[#This Row],[Ιουν-21]]*Table6[[#This Row],[Ιουν-21]]</f>
        <v>-1.7229150079924951E-3</v>
      </c>
      <c r="I45" s="107">
        <f>Table684[[#This Row],[Ιουλ-21]]*Table6[[#This Row],[Ιουλ-21]]</f>
        <v>3.0258659243254343E-4</v>
      </c>
      <c r="J45" s="107">
        <f>Table684[[#This Row],[Αυγ-21]]*Table6[[#This Row],[Αυγ-21]]</f>
        <v>8.0478015660974758E-4</v>
      </c>
      <c r="K45" s="107">
        <f>Table684[[#This Row],[Σεπ-21]]*Table6[[#This Row],[Σεπ-21]]</f>
        <v>-4.2366086291133094E-3</v>
      </c>
      <c r="L45" s="107">
        <f>Table684[[#This Row],[Οκτ-21]]*Table6[[#This Row],[Οκτ-21]]</f>
        <v>3.6648645266349434E-3</v>
      </c>
      <c r="M45" s="107">
        <f>Table684[[#This Row],[Νοε-21]]*Table6[[#This Row],[Νοε-21]]</f>
        <v>-7.1119616044201339E-4</v>
      </c>
      <c r="N45" s="107">
        <f>Table684[[#This Row],[Δεκ-21]]*Table6[[#This Row],[Δεκ-21]]</f>
        <v>1.2062539974022968E-3</v>
      </c>
      <c r="O45" s="126">
        <f>Table684[[#This Row],[Ιαν-22]]*Table6[[#This Row],[Ιαν-22]]</f>
        <v>-2.0144852401143018E-4</v>
      </c>
      <c r="P45" s="107">
        <f>Table684[[#This Row],[Φεβ-22]]*Table6[[#This Row],[Φεβ-22]]</f>
        <v>5.3062874499827581E-5</v>
      </c>
      <c r="Q45" s="107">
        <f>Table684[[#This Row],[Μαρ-22]]*Table6[[#This Row],[Μαρ-22]]</f>
        <v>-7.0296085508561243E-4</v>
      </c>
      <c r="R45" s="107">
        <f>Table684[[#This Row],[Απρ-22]]*Table6[[#This Row],[Απρ-22]]</f>
        <v>2.908063440339862E-3</v>
      </c>
      <c r="S45" s="107">
        <f>Table684[[#This Row],[Μαϊ-22]]*Table6[[#This Row],[Μαϊ-22]]</f>
        <v>6.6975627454342053E-5</v>
      </c>
      <c r="T45" s="126">
        <f>Table684[[#This Row],[Ιουν-22]]*Table6[[#This Row],[Ιουν-22]]</f>
        <v>-2.7248563511019768E-3</v>
      </c>
      <c r="U45" s="107">
        <f>Table684[[#This Row],[Ιουλ-22]]*Table6[[#This Row],[Ιουλ-22]]</f>
        <v>2.1331494302362052E-3</v>
      </c>
      <c r="V45" s="107">
        <f>Table684[[#This Row],[Αυγ-22]]*Table6[[#This Row],[Αυγ-22]]</f>
        <v>-1.1325586128847918E-4</v>
      </c>
      <c r="W45" s="107">
        <f>Table684[[#This Row],[Σεπ-22]]*Table6[[#This Row],[Σεπ-22]]</f>
        <v>-2.1362752888702901E-3</v>
      </c>
      <c r="X45" s="107">
        <f>Table684[[#This Row],[Οκτ-22]]*Table6[[#This Row],[Οκτ-22]]</f>
        <v>1.9452469617479158E-3</v>
      </c>
      <c r="Y45" s="107">
        <f>Table684[[#This Row],[Νοε-22]]*Table6[[#This Row],[Νοε-22]]</f>
        <v>1.3185747196825363E-3</v>
      </c>
      <c r="Z45" s="107">
        <f>Table684[[#This Row],[Δεκ-22]]*Table6[[#This Row],[Δεκ-22]]</f>
        <v>3.6343994271501755E-4</v>
      </c>
      <c r="AA45" s="126">
        <f>Table684[[#This Row],[Ιαν-23]]*Table6[[#This Row],[Ιαν-23]]</f>
        <v>-1.5903830843007644E-5</v>
      </c>
      <c r="AB45" s="107">
        <f>Table684[[#This Row],[Φεβ-23]]*Table6[[#This Row],[Φεβ-23]]</f>
        <v>2.7206059277783178E-4</v>
      </c>
      <c r="AC45" s="107">
        <f>Table684[[#This Row],[Μαρ-23]]*Table6[[#This Row],[Μαρ-23]]</f>
        <v>1.3780921644474253E-3</v>
      </c>
      <c r="AD45" s="107">
        <f>Table684[[#This Row],[Απρ-23]]*Table6[[#This Row],[Απρ-23]]</f>
        <v>6.6312612471183525E-4</v>
      </c>
      <c r="AE45" s="107">
        <f>Table684[[#This Row],[Μαϊ-23]]*Table6[[#This Row],[Μαϊ-23]]</f>
        <v>-8.1941434004369966E-4</v>
      </c>
      <c r="AF45" s="126">
        <f>Table684[[#This Row],[Ιουν-23]]*Table6[[#This Row],[Ιουν-23]]</f>
        <v>1.2776077443882809E-3</v>
      </c>
      <c r="AG45" s="107">
        <f>Table684[[#This Row],[Ιουλ-23]]*Table6[[#This Row],[Ιουλ-23]]</f>
        <v>-6.3022429584144344E-4</v>
      </c>
      <c r="AH45" s="107">
        <f>Table684[[#This Row],[Αυγ-23]]*Table6[[#This Row],[Αυγ-23]]</f>
        <v>-8.9674203776774148E-4</v>
      </c>
      <c r="AI45" s="107">
        <f>Table684[[#This Row],[Σεπ-23]]*Table6[[#This Row],[Σεπ-23]]</f>
        <v>-8.4426241381914044E-4</v>
      </c>
      <c r="AJ45" s="107">
        <f>Table684[[#This Row],[Οκτ-23]]*Table6[[#This Row],[Οκτ-23]]</f>
        <v>-2.2388049448677147E-4</v>
      </c>
      <c r="AK45" s="107">
        <f>Table684[[#This Row],[Νοε-23]]*Table6[[#This Row],[Νοε-23]]</f>
        <v>2.0649806722562265E-3</v>
      </c>
      <c r="AL45" s="107">
        <f>Table684[[#This Row],[Δεκ-23]]*Table6[[#This Row],[Δεκ-23]]</f>
        <v>1.179706056735567E-3</v>
      </c>
      <c r="AM45" s="126">
        <f>Table684[[#This Row],[Ιαν-24]]*Table6[[#This Row],[Ιαν-24]]</f>
        <v>-1.1238707129058736E-3</v>
      </c>
      <c r="AN45" s="107">
        <f>Table684[[#This Row],[Φεβ-24]]*Table6[[#This Row],[Φεβ-24]]</f>
        <v>-1.2402021856381547E-3</v>
      </c>
      <c r="AO45" s="107">
        <f>Table684[[#This Row],[Μαρ-24]]*Table6[[#This Row],[Μαρ-24]]</f>
        <v>1.8886715236557875E-3</v>
      </c>
      <c r="AP45" s="107">
        <f>Table684[[#This Row],[Απρ-24]]*Table6[[#This Row],[Απρ-24]]</f>
        <v>3.0566955569030477E-5</v>
      </c>
      <c r="AQ45" s="107">
        <f>Table684[[#This Row],[Μαϊ-24]]*Table6[[#This Row],[Μαϊ-24]]</f>
        <v>1.2198820951700689E-3</v>
      </c>
      <c r="AR45" s="126">
        <f>Table684[[#This Row],[Ιουν-24]]*Table6[[#This Row],[Ιουν-24]]</f>
        <v>3.1807661686015288E-5</v>
      </c>
      <c r="AS45" s="107">
        <f>Table684[[#This Row],[Ιουλ-24]]*Table6[[#This Row],[Ιουλ-24]]</f>
        <v>9.3974993809680925E-4</v>
      </c>
      <c r="AT45" s="107">
        <f>Table684[[#This Row],[Αυγ-24]]*Table6[[#This Row],[Αυγ-24]]</f>
        <v>1.4192226861733227E-3</v>
      </c>
      <c r="AU45" s="107">
        <f>Table684[[#This Row],[Σεπ-24]]*Table6[[#This Row],[Σεπ-24]]</f>
        <v>2.3130188583070812E-3</v>
      </c>
      <c r="AV45" s="107">
        <f>Table684[[#This Row],[Οκτ-24]]*Table6[[#This Row],[Οκτ-24]]</f>
        <v>-5.2830123124642447E-4</v>
      </c>
      <c r="AW45" s="107">
        <f>Table684[[#This Row],[Νοε-24]]*Table6[[#This Row],[Νοε-24]]</f>
        <v>-3.4383495177308591E-4</v>
      </c>
      <c r="AX45" s="107">
        <f>Table684[[#This Row],[Δεκ-24]]*Table6[[#This Row],[Δεκ-24]]</f>
        <v>-4.1290535899112223E-4</v>
      </c>
      <c r="AY45" s="126">
        <f>Table684[[#This Row],[Ιαν-25]]*Table6[[#This Row],[Ιαν-25]]</f>
        <v>1.1424251822227159E-3</v>
      </c>
      <c r="AZ45" s="107">
        <f>Table684[[#This Row],[Φεβ-25]]*Table6[[#This Row],[Φεβ-25]]</f>
        <v>5.8314431259899569E-4</v>
      </c>
      <c r="BA45" s="107">
        <f>Table684[[#This Row],[Μαρ-25]]*Table6[[#This Row],[Μαρ-25]]</f>
        <v>1.776251489382171E-3</v>
      </c>
      <c r="BB45" s="107">
        <f>Table684[[#This Row],[Απρ-25]]*Table6[[#This Row],[Απρ-25]]</f>
        <v>1.7515266061305531E-3</v>
      </c>
      <c r="BC45" s="107">
        <f>Table684[[#This Row],[Μαϊ-25]]*Table6[[#This Row],[Μαϊ-25]]</f>
        <v>3.4729183123218682E-4</v>
      </c>
      <c r="BD45" s="126">
        <f>Table684[[#This Row],[Ιουν-25]]*Table6[[#This Row],[Ιουν-25]]</f>
        <v>3.4723364007233364E-4</v>
      </c>
      <c r="BE45" s="107"/>
      <c r="BF45" s="153" cm="1">
        <f t="array" ref="BF45">PRODUCT(1+Table68[[#This Row],[Ιαν-21]:[Ιουν-25]])-1</f>
        <v>1.4508874479721934E-2</v>
      </c>
      <c r="BG45" s="112" t="s">
        <v>107</v>
      </c>
      <c r="BH45" s="112" t="str">
        <f>IF(Table68[[#This Row],[Cumulative Return ]]&lt;0,"Negative", IF(Table68[[#This Row],[Cumulative Return ]]&lt;0.025,"Positive","High Positive"))</f>
        <v>Positive</v>
      </c>
      <c r="BI45" s="113">
        <f>SLOPE(C45:BD45,$C$54:$BD$54)</f>
        <v>1.9690973427135508E-2</v>
      </c>
      <c r="BJ45" s="113"/>
      <c r="BK45" s="157"/>
      <c r="BM45" s="106" t="s">
        <v>179</v>
      </c>
      <c r="BN45" s="107">
        <v>3.0685018585256962E-2</v>
      </c>
    </row>
    <row r="46" spans="1:66">
      <c r="A46" s="110" t="s">
        <v>257</v>
      </c>
      <c r="B46" s="111" t="s">
        <v>258</v>
      </c>
      <c r="C46" s="126">
        <f>Table684[[#This Row],[Ιαν-21]]*Table6[[#This Row],[Ιαν-21]]</f>
        <v>1.6931761373104482E-4</v>
      </c>
      <c r="D46" s="107">
        <f>Table684[[#This Row],[Φεβ-21]]*Table6[[#This Row],[Φεβ-21]]</f>
        <v>-7.5570648545207218E-4</v>
      </c>
      <c r="E46" s="107">
        <f>Table684[[#This Row],[Μαρ-21]]*Table6[[#This Row],[Μαρ-21]]</f>
        <v>1.3563300516224006E-3</v>
      </c>
      <c r="F46" s="107">
        <f>Table684[[#This Row],[Απρ-21]]*Table6[[#This Row],[Απρ-21]]</f>
        <v>-4.423628523876125E-4</v>
      </c>
      <c r="G46" s="107">
        <f>Table684[[#This Row],[Μαϊ-21]]*Table6[[#This Row],[Μαϊ-21]]</f>
        <v>-4.0586393374058546E-4</v>
      </c>
      <c r="H46" s="126">
        <f>Table684[[#This Row],[Ιουν-21]]*Table6[[#This Row],[Ιουν-21]]</f>
        <v>-4.8526078986835524E-4</v>
      </c>
      <c r="I46" s="107">
        <f>Table684[[#This Row],[Ιουλ-21]]*Table6[[#This Row],[Ιουλ-21]]</f>
        <v>2.7737032588348928E-4</v>
      </c>
      <c r="J46" s="107">
        <f>Table684[[#This Row],[Αυγ-21]]*Table6[[#This Row],[Αυγ-21]]</f>
        <v>-1.3582203109901468E-4</v>
      </c>
      <c r="K46" s="107">
        <f>Table684[[#This Row],[Σεπ-21]]*Table6[[#This Row],[Σεπ-21]]</f>
        <v>-2.2380031041991954E-3</v>
      </c>
      <c r="L46" s="107">
        <f>Table684[[#This Row],[Οκτ-21]]*Table6[[#This Row],[Οκτ-21]]</f>
        <v>1.2581114078665503E-3</v>
      </c>
      <c r="M46" s="107">
        <f>Table684[[#This Row],[Νοε-21]]*Table6[[#This Row],[Νοε-21]]</f>
        <v>-1.0878645133574078E-3</v>
      </c>
      <c r="N46" s="107">
        <f>Table684[[#This Row],[Δεκ-21]]*Table6[[#This Row],[Δεκ-21]]</f>
        <v>7.2492175353173582E-4</v>
      </c>
      <c r="O46" s="126">
        <f>Table684[[#This Row],[Ιαν-22]]*Table6[[#This Row],[Ιαν-22]]</f>
        <v>-1.8153641059823363E-4</v>
      </c>
      <c r="P46" s="107">
        <f>Table684[[#This Row],[Φεβ-22]]*Table6[[#This Row],[Φεβ-22]]</f>
        <v>-4.6692637840022293E-4</v>
      </c>
      <c r="Q46" s="107">
        <f>Table684[[#This Row],[Μαρ-22]]*Table6[[#This Row],[Μαρ-22]]</f>
        <v>-1.4153832729550317E-3</v>
      </c>
      <c r="R46" s="107">
        <f>Table684[[#This Row],[Απρ-22]]*Table6[[#This Row],[Απρ-22]]</f>
        <v>3.9333287335698697E-4</v>
      </c>
      <c r="S46" s="107">
        <f>Table684[[#This Row],[Μαϊ-22]]*Table6[[#This Row],[Μαϊ-22]]</f>
        <v>-4.5301958551572882E-4</v>
      </c>
      <c r="T46" s="126">
        <f>Table684[[#This Row],[Ιουν-22]]*Table6[[#This Row],[Ιουν-22]]</f>
        <v>-2.3791743042826195E-3</v>
      </c>
      <c r="U46" s="107">
        <f>Table684[[#This Row],[Ιουλ-22]]*Table6[[#This Row],[Ιουλ-22]]</f>
        <v>-3.667269382521768E-4</v>
      </c>
      <c r="V46" s="107">
        <f>Table684[[#This Row],[Αυγ-22]]*Table6[[#This Row],[Αυγ-22]]</f>
        <v>-6.5588578838866158E-4</v>
      </c>
      <c r="W46" s="107">
        <f>Table684[[#This Row],[Σεπ-22]]*Table6[[#This Row],[Σεπ-22]]</f>
        <v>-1.5258598137865838E-3</v>
      </c>
      <c r="X46" s="107">
        <f>Table684[[#This Row],[Οκτ-22]]*Table6[[#This Row],[Οκτ-22]]</f>
        <v>1.0083371074040414E-3</v>
      </c>
      <c r="Y46" s="107">
        <f>Table684[[#This Row],[Νοε-22]]*Table6[[#This Row],[Νοε-22]]</f>
        <v>1.9552414041161511E-3</v>
      </c>
      <c r="Z46" s="107">
        <f>Table684[[#This Row],[Δεκ-22]]*Table6[[#This Row],[Δεκ-22]]</f>
        <v>-3.0597638165553488E-4</v>
      </c>
      <c r="AA46" s="126">
        <f>Table684[[#This Row],[Ιαν-23]]*Table6[[#This Row],[Ιαν-23]]</f>
        <v>1.9392976170638228E-3</v>
      </c>
      <c r="AB46" s="107">
        <f>Table684[[#This Row],[Φεβ-23]]*Table6[[#This Row],[Φεβ-23]]</f>
        <v>-2.4364746344028663E-4</v>
      </c>
      <c r="AC46" s="107">
        <f>Table684[[#This Row],[Μαρ-23]]*Table6[[#This Row],[Μαρ-23]]</f>
        <v>1.0047925169083206E-3</v>
      </c>
      <c r="AD46" s="107">
        <f>Table684[[#This Row],[Απρ-23]]*Table6[[#This Row],[Απρ-23]]</f>
        <v>1.847289615392611E-3</v>
      </c>
      <c r="AE46" s="107">
        <f>Table684[[#This Row],[Μαϊ-23]]*Table6[[#This Row],[Μαϊ-23]]</f>
        <v>-1.0710155944405539E-3</v>
      </c>
      <c r="AF46" s="126">
        <f>Table684[[#This Row],[Ιουν-23]]*Table6[[#This Row],[Ιουν-23]]</f>
        <v>9.2339193467755375E-4</v>
      </c>
      <c r="AG46" s="107">
        <f>Table684[[#This Row],[Ιουλ-23]]*Table6[[#This Row],[Ιουλ-23]]</f>
        <v>8.9078350489267565E-4</v>
      </c>
      <c r="AH46" s="107">
        <f>Table684[[#This Row],[Αυγ-23]]*Table6[[#This Row],[Αυγ-23]]</f>
        <v>-1.8143410919690045E-4</v>
      </c>
      <c r="AI46" s="107">
        <f>Table684[[#This Row],[Σεπ-23]]*Table6[[#This Row],[Σεπ-23]]</f>
        <v>-1.1615825241291225E-3</v>
      </c>
      <c r="AJ46" s="107">
        <f>Table684[[#This Row],[Οκτ-23]]*Table6[[#This Row],[Οκτ-23]]</f>
        <v>5.0847470879856007E-4</v>
      </c>
      <c r="AK46" s="107">
        <f>Table684[[#This Row],[Νοε-23]]*Table6[[#This Row],[Νοε-23]]</f>
        <v>1.5672587935961243E-3</v>
      </c>
      <c r="AL46" s="107">
        <f>Table684[[#This Row],[Δεκ-23]]*Table6[[#This Row],[Δεκ-23]]</f>
        <v>7.0528041069035832E-4</v>
      </c>
      <c r="AM46" s="126">
        <f>Table684[[#This Row],[Ιαν-24]]*Table6[[#This Row],[Ιαν-24]]</f>
        <v>-4.6082319613397767E-4</v>
      </c>
      <c r="AN46" s="107">
        <f>Table684[[#This Row],[Φεβ-24]]*Table6[[#This Row],[Φεβ-24]]</f>
        <v>-1.2062841917783098E-3</v>
      </c>
      <c r="AO46" s="107">
        <f>Table684[[#This Row],[Μαρ-24]]*Table6[[#This Row],[Μαρ-24]]</f>
        <v>6.0081887451612535E-4</v>
      </c>
      <c r="AP46" s="107">
        <f>Table684[[#This Row],[Απρ-24]]*Table6[[#This Row],[Απρ-24]]</f>
        <v>1.4917206238579769E-4</v>
      </c>
      <c r="AQ46" s="107">
        <f>Table684[[#This Row],[Μαϊ-24]]*Table6[[#This Row],[Μαϊ-24]]</f>
        <v>1.1497703252127674E-3</v>
      </c>
      <c r="AR46" s="126">
        <f>Table684[[#This Row],[Ιουν-24]]*Table6[[#This Row],[Ιουν-24]]</f>
        <v>-4.259123479420097E-4</v>
      </c>
      <c r="AS46" s="107">
        <f>Table684[[#This Row],[Ιουλ-24]]*Table6[[#This Row],[Ιουλ-24]]</f>
        <v>8.408043338840142E-4</v>
      </c>
      <c r="AT46" s="107">
        <f>Table684[[#This Row],[Αυγ-24]]*Table6[[#This Row],[Αυγ-24]]</f>
        <v>7.1894842451145004E-4</v>
      </c>
      <c r="AU46" s="107">
        <f>Table684[[#This Row],[Σεπ-24]]*Table6[[#This Row],[Σεπ-24]]</f>
        <v>8.0697669219158383E-4</v>
      </c>
      <c r="AV46" s="107">
        <f>Table684[[#This Row],[Οκτ-24]]*Table6[[#This Row],[Οκτ-24]]</f>
        <v>-5.3261956303031943E-4</v>
      </c>
      <c r="AW46" s="107">
        <f>Table684[[#This Row],[Νοε-24]]*Table6[[#This Row],[Νοε-24]]</f>
        <v>-4.2556399544839874E-4</v>
      </c>
      <c r="AX46" s="107">
        <f>Table684[[#This Row],[Δεκ-24]]*Table6[[#This Row],[Δεκ-24]]</f>
        <v>1.9884526703440973E-4</v>
      </c>
      <c r="AY46" s="126">
        <f>Table684[[#This Row],[Ιαν-25]]*Table6[[#This Row],[Ιαν-25]]</f>
        <v>4.9573404432594575E-4</v>
      </c>
      <c r="AZ46" s="107">
        <f>Table684[[#This Row],[Φεβ-25]]*Table6[[#This Row],[Φεβ-25]]</f>
        <v>4.6200426651025361E-4</v>
      </c>
      <c r="BA46" s="107">
        <f>Table684[[#This Row],[Μαρ-25]]*Table6[[#This Row],[Μαρ-25]]</f>
        <v>1.0119799928507743E-3</v>
      </c>
      <c r="BB46" s="107">
        <f>Table684[[#This Row],[Απρ-25]]*Table6[[#This Row],[Απρ-25]]</f>
        <v>3.4756907528194706E-4</v>
      </c>
      <c r="BC46" s="107">
        <f>Table684[[#This Row],[Μαϊ-25]]*Table6[[#This Row],[Μαϊ-25]]</f>
        <v>1.0353503383456536E-3</v>
      </c>
      <c r="BD46" s="126">
        <f>Table684[[#This Row],[Ιουν-25]]*Table6[[#This Row],[Ιουν-25]]</f>
        <v>-6.2839526745542406E-5</v>
      </c>
      <c r="BE46" s="107"/>
      <c r="BF46" s="153" cm="1">
        <f t="array" ref="BF46">PRODUCT(1+Table68[[#This Row],[Ιαν-21]:[Ιουν-25]])-1</f>
        <v>5.2623203687092168E-3</v>
      </c>
      <c r="BG46" s="112" t="s">
        <v>107</v>
      </c>
      <c r="BH46" s="112" t="str">
        <f>IF(Table68[[#This Row],[Cumulative Return ]]&lt;0,"Negative", IF(Table68[[#This Row],[Cumulative Return ]]&lt;0.025,"Positive","High Positive"))</f>
        <v>Positive</v>
      </c>
      <c r="BI46" s="113">
        <f>SLOPE(C46:BD46,$C$54:$BD$54)</f>
        <v>1.6462592360524431E-2</v>
      </c>
      <c r="BJ46" s="113"/>
      <c r="BK46" s="157"/>
      <c r="BM46" s="106" t="s">
        <v>109</v>
      </c>
      <c r="BN46" s="107">
        <v>3.4871477637751669E-2</v>
      </c>
    </row>
    <row r="47" spans="1:66">
      <c r="A47" s="110" t="s">
        <v>145</v>
      </c>
      <c r="B47" s="110" t="s">
        <v>146</v>
      </c>
      <c r="C47" s="126">
        <f>Table684[[#This Row],[Ιαν-21]]*Table6[[#This Row],[Ιαν-21]]</f>
        <v>-3.0913860035673062E-4</v>
      </c>
      <c r="D47" s="107">
        <f>Table684[[#This Row],[Φεβ-21]]*Table6[[#This Row],[Φεβ-21]]</f>
        <v>3.7912967826744608E-4</v>
      </c>
      <c r="E47" s="107">
        <f>Table684[[#This Row],[Μαρ-21]]*Table6[[#This Row],[Μαρ-21]]</f>
        <v>3.5173490779362325E-3</v>
      </c>
      <c r="F47" s="107">
        <f>Table684[[#This Row],[Απρ-21]]*Table6[[#This Row],[Απρ-21]]</f>
        <v>-9.4375748978885318E-4</v>
      </c>
      <c r="G47" s="107">
        <f>Table684[[#This Row],[Μαϊ-21]]*Table6[[#This Row],[Μαϊ-21]]</f>
        <v>1.5674063287994711E-3</v>
      </c>
      <c r="H47" s="126">
        <f>Table684[[#This Row],[Ιουν-21]]*Table6[[#This Row],[Ιουν-21]]</f>
        <v>1.1002413178050569E-3</v>
      </c>
      <c r="I47" s="107">
        <f>Table684[[#This Row],[Ιουλ-21]]*Table6[[#This Row],[Ιουλ-21]]</f>
        <v>-4.5090734382964131E-4</v>
      </c>
      <c r="J47" s="107">
        <f>Table684[[#This Row],[Αυγ-21]]*Table6[[#This Row],[Αυγ-21]]</f>
        <v>6.7265015726154342E-4</v>
      </c>
      <c r="K47" s="107">
        <f>Table684[[#This Row],[Σεπ-21]]*Table6[[#This Row],[Σεπ-21]]</f>
        <v>-8.7780277890308516E-4</v>
      </c>
      <c r="L47" s="107">
        <f>Table684[[#This Row],[Οκτ-21]]*Table6[[#This Row],[Οκτ-21]]</f>
        <v>-1.6817145790460418E-3</v>
      </c>
      <c r="M47" s="107">
        <f>Table684[[#This Row],[Νοε-21]]*Table6[[#This Row],[Νοε-21]]</f>
        <v>-6.5737524401000673E-4</v>
      </c>
      <c r="N47" s="107">
        <f>Table684[[#This Row],[Δεκ-21]]*Table6[[#This Row],[Δεκ-21]]</f>
        <v>9.3642873059817419E-4</v>
      </c>
      <c r="O47" s="126">
        <f>Table684[[#This Row],[Ιαν-22]]*Table6[[#This Row],[Ιαν-22]]</f>
        <v>6.6939460707166076E-4</v>
      </c>
      <c r="P47" s="107">
        <f>Table684[[#This Row],[Φεβ-22]]*Table6[[#This Row],[Φεβ-22]]</f>
        <v>-1.3420432195148688E-3</v>
      </c>
      <c r="Q47" s="107">
        <f>Table684[[#This Row],[Μαρ-22]]*Table6[[#This Row],[Μαρ-22]]</f>
        <v>1.6792110200100612E-3</v>
      </c>
      <c r="R47" s="107">
        <f>Table684[[#This Row],[Απρ-22]]*Table6[[#This Row],[Απρ-22]]</f>
        <v>1.484819742757295E-3</v>
      </c>
      <c r="S47" s="107">
        <f>Table684[[#This Row],[Μαϊ-22]]*Table6[[#This Row],[Μαϊ-22]]</f>
        <v>2.9402786321859227E-3</v>
      </c>
      <c r="T47" s="126">
        <f>Table684[[#This Row],[Ιουν-22]]*Table6[[#This Row],[Ιουν-22]]</f>
        <v>-2.6288951841359768E-4</v>
      </c>
      <c r="U47" s="107">
        <f>Table684[[#This Row],[Ιουλ-22]]*Table6[[#This Row],[Ιουλ-22]]</f>
        <v>-4.8634901099903953E-4</v>
      </c>
      <c r="V47" s="107">
        <f>Table684[[#This Row],[Αυγ-22]]*Table6[[#This Row],[Αυγ-22]]</f>
        <v>3.3361318740849749E-4</v>
      </c>
      <c r="W47" s="107">
        <f>Table684[[#This Row],[Σεπ-22]]*Table6[[#This Row],[Σεπ-22]]</f>
        <v>-2.0739053863966452E-3</v>
      </c>
      <c r="X47" s="107">
        <f>Table684[[#This Row],[Οκτ-22]]*Table6[[#This Row],[Οκτ-22]]</f>
        <v>2.6666094481889694E-3</v>
      </c>
      <c r="Y47" s="107">
        <f>Table684[[#This Row],[Νοε-22]]*Table6[[#This Row],[Νοε-22]]</f>
        <v>4.6459331481091493E-4</v>
      </c>
      <c r="Z47" s="107">
        <f>Table684[[#This Row],[Δεκ-22]]*Table6[[#This Row],[Δεκ-22]]</f>
        <v>-1.053439724328563E-3</v>
      </c>
      <c r="AA47" s="126">
        <f>Table684[[#This Row],[Ιαν-23]]*Table6[[#This Row],[Ιαν-23]]</f>
        <v>2.390347287797712E-3</v>
      </c>
      <c r="AB47" s="107">
        <f>Table684[[#This Row],[Φεβ-23]]*Table6[[#This Row],[Φεβ-23]]</f>
        <v>9.1676987019512126E-4</v>
      </c>
      <c r="AC47" s="107">
        <f>Table684[[#This Row],[Μαρ-23]]*Table6[[#This Row],[Μαρ-23]]</f>
        <v>1.3467321105217593E-3</v>
      </c>
      <c r="AD47" s="107">
        <f>Table684[[#This Row],[Απρ-23]]*Table6[[#This Row],[Απρ-23]]</f>
        <v>1.0227132064912315E-4</v>
      </c>
      <c r="AE47" s="107">
        <f>Table684[[#This Row],[Μαϊ-23]]*Table6[[#This Row],[Μαϊ-23]]</f>
        <v>-1.1860866613384589E-3</v>
      </c>
      <c r="AF47" s="126">
        <f>Table684[[#This Row],[Ιουν-23]]*Table6[[#This Row],[Ιουν-23]]</f>
        <v>-9.4688909873045829E-4</v>
      </c>
      <c r="AG47" s="107">
        <f>Table684[[#This Row],[Ιουλ-23]]*Table6[[#This Row],[Ιουλ-23]]</f>
        <v>-2.1770778394073934E-4</v>
      </c>
      <c r="AH47" s="107">
        <f>Table684[[#This Row],[Αυγ-23]]*Table6[[#This Row],[Αυγ-23]]</f>
        <v>-6.6012608077058898E-6</v>
      </c>
      <c r="AI47" s="107">
        <f>Table684[[#This Row],[Σεπ-23]]*Table6[[#This Row],[Σεπ-23]]</f>
        <v>2.9150519865893583E-5</v>
      </c>
      <c r="AJ47" s="107">
        <f>Table684[[#This Row],[Οκτ-23]]*Table6[[#This Row],[Οκτ-23]]</f>
        <v>7.9531908272762483E-4</v>
      </c>
      <c r="AK47" s="107">
        <f>Table684[[#This Row],[Νοε-23]]*Table6[[#This Row],[Νοε-23]]</f>
        <v>1.803741968216425E-3</v>
      </c>
      <c r="AL47" s="107">
        <f>Table684[[#This Row],[Δεκ-23]]*Table6[[#This Row],[Δεκ-23]]</f>
        <v>-2.6397545920560578E-4</v>
      </c>
      <c r="AM47" s="126">
        <f>Table684[[#This Row],[Ιαν-24]]*Table6[[#This Row],[Ιαν-24]]</f>
        <v>1.0126114783338576E-3</v>
      </c>
      <c r="AN47" s="107">
        <f>Table684[[#This Row],[Φεβ-24]]*Table6[[#This Row],[Φεβ-24]]</f>
        <v>-7.7021227330273032E-4</v>
      </c>
      <c r="AO47" s="107">
        <f>Table684[[#This Row],[Μαρ-24]]*Table6[[#This Row],[Μαρ-24]]</f>
        <v>5.1132502881895295E-4</v>
      </c>
      <c r="AP47" s="107">
        <f>Table684[[#This Row],[Απρ-24]]*Table6[[#This Row],[Απρ-24]]</f>
        <v>-2.2838866122833372E-4</v>
      </c>
      <c r="AQ47" s="107">
        <f>Table684[[#This Row],[Μαϊ-24]]*Table6[[#This Row],[Μαϊ-24]]</f>
        <v>9.5118416172359382E-4</v>
      </c>
      <c r="AR47" s="126">
        <f>Table684[[#This Row],[Ιουν-24]]*Table6[[#This Row],[Ιουν-24]]</f>
        <v>1.1757003462385897E-3</v>
      </c>
      <c r="AS47" s="107">
        <f>Table684[[#This Row],[Ιουλ-24]]*Table6[[#This Row],[Ιουλ-24]]</f>
        <v>7.0480775056520721E-4</v>
      </c>
      <c r="AT47" s="107">
        <f>Table684[[#This Row],[Αυγ-24]]*Table6[[#This Row],[Αυγ-24]]</f>
        <v>1.7156693299511148E-3</v>
      </c>
      <c r="AU47" s="107">
        <f>Table684[[#This Row],[Σεπ-24]]*Table6[[#This Row],[Σεπ-24]]</f>
        <v>7.6079998360675425E-4</v>
      </c>
      <c r="AV47" s="107">
        <f>Table684[[#This Row],[Οκτ-24]]*Table6[[#This Row],[Οκτ-24]]</f>
        <v>1.4189555556646599E-3</v>
      </c>
      <c r="AW47" s="107">
        <f>Table684[[#This Row],[Νοε-24]]*Table6[[#This Row],[Νοε-24]]</f>
        <v>2.6253815221857196E-3</v>
      </c>
      <c r="AX47" s="107">
        <f>Table684[[#This Row],[Δεκ-24]]*Table6[[#This Row],[Δεκ-24]]</f>
        <v>-1.4034482031992806E-3</v>
      </c>
      <c r="AY47" s="126">
        <f>Table684[[#This Row],[Ιαν-25]]*Table6[[#This Row],[Ιαν-25]]</f>
        <v>2.8382331339838413E-3</v>
      </c>
      <c r="AZ47" s="107">
        <f>Table684[[#This Row],[Φεβ-25]]*Table6[[#This Row],[Φεβ-25]]</f>
        <v>1.9268389692522023E-3</v>
      </c>
      <c r="BA47" s="107">
        <f>Table684[[#This Row],[Μαρ-25]]*Table6[[#This Row],[Μαρ-25]]</f>
        <v>-3.0541045079070846E-4</v>
      </c>
      <c r="BB47" s="107">
        <f>Table684[[#This Row],[Απρ-25]]*Table6[[#This Row],[Απρ-25]]</f>
        <v>-1.4312462638402721E-3</v>
      </c>
      <c r="BC47" s="107">
        <f>Table684[[#This Row],[Μαϊ-25]]*Table6[[#This Row],[Μαϊ-25]]</f>
        <v>1.3623425257091874E-3</v>
      </c>
      <c r="BD47" s="126">
        <f>Table684[[#This Row],[Ιουν-25]]*Table6[[#This Row],[Ιουν-25]]</f>
        <v>-1.7258210051411182E-3</v>
      </c>
      <c r="BE47" s="107"/>
      <c r="BF47" s="153" cm="1">
        <f t="array" ref="BF47">PRODUCT(1+Table68[[#This Row],[Ιαν-21]:[Ιουν-25]])-1</f>
        <v>2.4415979293503254E-2</v>
      </c>
      <c r="BG47" s="112" t="s">
        <v>115</v>
      </c>
      <c r="BH47" s="112" t="str">
        <f>IF(Table68[[#This Row],[Cumulative Return ]]&lt;0,"Negative", IF(Table68[[#This Row],[Cumulative Return ]]&lt;0.025,"Positive","High Positive"))</f>
        <v>Positive</v>
      </c>
      <c r="BI47" s="113">
        <f>SLOPE(C47:BD47,$C$54:$BD$54)</f>
        <v>1.5277724120702938E-2</v>
      </c>
      <c r="BJ47" s="113"/>
      <c r="BK47" s="157"/>
      <c r="BM47" s="106" t="s">
        <v>36</v>
      </c>
      <c r="BN47" s="107">
        <v>3.5588065061597618E-2</v>
      </c>
    </row>
    <row r="48" spans="1:66">
      <c r="A48" s="110" t="s">
        <v>262</v>
      </c>
      <c r="B48" s="110" t="s">
        <v>263</v>
      </c>
      <c r="C48" s="126">
        <f>Table684[[#This Row],[Ιαν-21]]*Table6[[#This Row],[Ιαν-21]]</f>
        <v>8.2425768544748665E-4</v>
      </c>
      <c r="D48" s="107">
        <f>Table684[[#This Row],[Φεβ-21]]*Table6[[#This Row],[Φεβ-21]]</f>
        <v>2.4079065237085271E-3</v>
      </c>
      <c r="E48" s="107">
        <f>Table684[[#This Row],[Μαρ-21]]*Table6[[#This Row],[Μαρ-21]]</f>
        <v>1.4007448150118677E-3</v>
      </c>
      <c r="F48" s="107">
        <f>Table684[[#This Row],[Απρ-21]]*Table6[[#This Row],[Απρ-21]]</f>
        <v>6.8274118371036447E-4</v>
      </c>
      <c r="G48" s="107">
        <f>Table684[[#This Row],[Μαϊ-21]]*Table6[[#This Row],[Μαϊ-21]]</f>
        <v>6.0346753995296385E-4</v>
      </c>
      <c r="H48" s="126">
        <f>Table684[[#This Row],[Ιουν-21]]*Table6[[#This Row],[Ιουν-21]]</f>
        <v>1.2758367432588388E-4</v>
      </c>
      <c r="I48" s="107">
        <f>Table684[[#This Row],[Ιουλ-21]]*Table6[[#This Row],[Ιουλ-21]]</f>
        <v>-2.2150686983768634E-4</v>
      </c>
      <c r="J48" s="107">
        <f>Table684[[#This Row],[Αυγ-21]]*Table6[[#This Row],[Αυγ-21]]</f>
        <v>7.0078955750486514E-4</v>
      </c>
      <c r="K48" s="107">
        <f>Table684[[#This Row],[Σεπ-21]]*Table6[[#This Row],[Σεπ-21]]</f>
        <v>8.1453981232421709E-4</v>
      </c>
      <c r="L48" s="107">
        <f>Table684[[#This Row],[Οκτ-21]]*Table6[[#This Row],[Οκτ-21]]</f>
        <v>-9.7409577148931757E-5</v>
      </c>
      <c r="M48" s="107">
        <f>Table684[[#This Row],[Νοε-21]]*Table6[[#This Row],[Νοε-21]]</f>
        <v>-2.3254925475600121E-4</v>
      </c>
      <c r="N48" s="107">
        <f>Table684[[#This Row],[Δεκ-21]]*Table6[[#This Row],[Δεκ-21]]</f>
        <v>6.2433474504974666E-4</v>
      </c>
      <c r="O48" s="126">
        <f>Table684[[#This Row],[Ιαν-22]]*Table6[[#This Row],[Ιαν-22]]</f>
        <v>1.4101353478124007E-4</v>
      </c>
      <c r="P48" s="107">
        <f>Table684[[#This Row],[Φεβ-22]]*Table6[[#This Row],[Φεβ-22]]</f>
        <v>-1.7074102100945709E-5</v>
      </c>
      <c r="Q48" s="107">
        <f>Table684[[#This Row],[Μαρ-22]]*Table6[[#This Row],[Μαρ-22]]</f>
        <v>-1.2982606231156863E-3</v>
      </c>
      <c r="R48" s="107">
        <f>Table684[[#This Row],[Απρ-22]]*Table6[[#This Row],[Απρ-22]]</f>
        <v>6.7801732411451609E-4</v>
      </c>
      <c r="S48" s="107">
        <f>Table684[[#This Row],[Μαϊ-22]]*Table6[[#This Row],[Μαϊ-22]]</f>
        <v>-1.941382538021189E-3</v>
      </c>
      <c r="T48" s="126">
        <f>Table684[[#This Row],[Ιουν-22]]*Table6[[#This Row],[Ιουν-22]]</f>
        <v>-1.3916692896862861E-3</v>
      </c>
      <c r="U48" s="107">
        <f>Table684[[#This Row],[Ιουλ-22]]*Table6[[#This Row],[Ιουλ-22]]</f>
        <v>2.8873006853098646E-3</v>
      </c>
      <c r="V48" s="107">
        <f>Table684[[#This Row],[Αυγ-22]]*Table6[[#This Row],[Αυγ-22]]</f>
        <v>-1.1211359254889931E-3</v>
      </c>
      <c r="W48" s="107">
        <f>Table684[[#This Row],[Σεπ-22]]*Table6[[#This Row],[Σεπ-22]]</f>
        <v>5.6675136997808702E-5</v>
      </c>
      <c r="X48" s="107">
        <f>Table684[[#This Row],[Οκτ-22]]*Table6[[#This Row],[Οκτ-22]]</f>
        <v>3.1017503674298668E-3</v>
      </c>
      <c r="Y48" s="107">
        <f>Table684[[#This Row],[Νοε-22]]*Table6[[#This Row],[Νοε-22]]</f>
        <v>2.0856654745784625E-3</v>
      </c>
      <c r="Z48" s="107">
        <f>Table684[[#This Row],[Δεκ-22]]*Table6[[#This Row],[Δεκ-22]]</f>
        <v>-1.019608477879383E-3</v>
      </c>
      <c r="AA48" s="126">
        <f>Table684[[#This Row],[Ιαν-23]]*Table6[[#This Row],[Ιαν-23]]</f>
        <v>1.5024656384429746E-3</v>
      </c>
      <c r="AB48" s="107">
        <f>Table684[[#This Row],[Φεβ-23]]*Table6[[#This Row],[Φεβ-23]]</f>
        <v>2.720303575469801E-3</v>
      </c>
      <c r="AC48" s="107">
        <f>Table684[[#This Row],[Μαρ-23]]*Table6[[#This Row],[Μαρ-23]]</f>
        <v>-8.8097321051659619E-4</v>
      </c>
      <c r="AD48" s="107">
        <f>Table684[[#This Row],[Απρ-23]]*Table6[[#This Row],[Απρ-23]]</f>
        <v>5.9315507119438908E-4</v>
      </c>
      <c r="AE48" s="107">
        <f>Table684[[#This Row],[Μαϊ-23]]*Table6[[#This Row],[Μαϊ-23]]</f>
        <v>-1.1847139268814678E-3</v>
      </c>
      <c r="AF48" s="126">
        <f>Table684[[#This Row],[Ιουν-23]]*Table6[[#This Row],[Ιουν-23]]</f>
        <v>1.0122757318224735E-3</v>
      </c>
      <c r="AG48" s="107">
        <f>Table684[[#This Row],[Ιουλ-23]]*Table6[[#This Row],[Ιουλ-23]]</f>
        <v>6.8844270395417657E-4</v>
      </c>
      <c r="AH48" s="107">
        <f>Table684[[#This Row],[Αυγ-23]]*Table6[[#This Row],[Αυγ-23]]</f>
        <v>-3.2519996761048059E-4</v>
      </c>
      <c r="AI48" s="107">
        <f>Table684[[#This Row],[Σεπ-23]]*Table6[[#This Row],[Σεπ-23]]</f>
        <v>-7.386623828319839E-5</v>
      </c>
      <c r="AJ48" s="107">
        <f>Table684[[#This Row],[Οκτ-23]]*Table6[[#This Row],[Οκτ-23]]</f>
        <v>-1.0665196768906868E-5</v>
      </c>
      <c r="AK48" s="107">
        <f>Table684[[#This Row],[Νοε-23]]*Table6[[#This Row],[Νοε-23]]</f>
        <v>1.5102600413243565E-3</v>
      </c>
      <c r="AL48" s="107">
        <f>Table684[[#This Row],[Δεκ-23]]*Table6[[#This Row],[Δεκ-23]]</f>
        <v>1.5220004401661682E-3</v>
      </c>
      <c r="AM48" s="126">
        <f>Table684[[#This Row],[Ιαν-24]]*Table6[[#This Row],[Ιαν-24]]</f>
        <v>1.8180673591438453E-3</v>
      </c>
      <c r="AN48" s="107">
        <f>Table684[[#This Row],[Φεβ-24]]*Table6[[#This Row],[Φεβ-24]]</f>
        <v>9.2004337030317078E-4</v>
      </c>
      <c r="AO48" s="107">
        <f>Table684[[#This Row],[Μαρ-24]]*Table6[[#This Row],[Μαρ-24]]</f>
        <v>6.2020110426859996E-4</v>
      </c>
      <c r="AP48" s="107">
        <f>Table684[[#This Row],[Απρ-24]]*Table6[[#This Row],[Απρ-24]]</f>
        <v>5.0376283435002943E-4</v>
      </c>
      <c r="AQ48" s="107">
        <f>Table684[[#This Row],[Μαϊ-24]]*Table6[[#This Row],[Μαϊ-24]]</f>
        <v>-1.8918571879885461E-4</v>
      </c>
      <c r="AR48" s="126">
        <f>Table684[[#This Row],[Ιουν-24]]*Table6[[#This Row],[Ιουν-24]]</f>
        <v>-5.5901794145420179E-4</v>
      </c>
      <c r="AS48" s="107">
        <f>Table684[[#This Row],[Ιουλ-24]]*Table6[[#This Row],[Ιουλ-24]]</f>
        <v>1.0836526323747161E-4</v>
      </c>
      <c r="AT48" s="107">
        <f>Table684[[#This Row],[Αυγ-24]]*Table6[[#This Row],[Αυγ-24]]</f>
        <v>4.6623804474877977E-4</v>
      </c>
      <c r="AU48" s="107">
        <f>Table684[[#This Row],[Σεπ-24]]*Table6[[#This Row],[Σεπ-24]]</f>
        <v>-1.9811143759657497E-4</v>
      </c>
      <c r="AV48" s="107">
        <f>Table684[[#This Row],[Οκτ-24]]*Table6[[#This Row],[Οκτ-24]]</f>
        <v>-7.7960194334017268E-5</v>
      </c>
      <c r="AW48" s="107">
        <f>Table684[[#This Row],[Νοε-24]]*Table6[[#This Row],[Νοε-24]]</f>
        <v>8.2585080604552095E-4</v>
      </c>
      <c r="AX48" s="107">
        <f>Table684[[#This Row],[Δεκ-24]]*Table6[[#This Row],[Δεκ-24]]</f>
        <v>4.8472761814632563E-5</v>
      </c>
      <c r="AY48" s="126">
        <f>Table684[[#This Row],[Ιαν-25]]*Table6[[#This Row],[Ιαν-25]]</f>
        <v>-8.3936627845976252E-6</v>
      </c>
      <c r="AZ48" s="107">
        <f>Table684[[#This Row],[Φεβ-25]]*Table6[[#This Row],[Φεβ-25]]</f>
        <v>-1.1286950542492027E-3</v>
      </c>
      <c r="BA48" s="107">
        <f>Table684[[#This Row],[Μαρ-25]]*Table6[[#This Row],[Μαρ-25]]</f>
        <v>-1.2627453990441263E-3</v>
      </c>
      <c r="BB48" s="107">
        <f>Table684[[#This Row],[Απρ-25]]*Table6[[#This Row],[Απρ-25]]</f>
        <v>3.7234803448648376E-4</v>
      </c>
      <c r="BC48" s="107">
        <f>Table684[[#This Row],[Μαϊ-25]]*Table6[[#This Row],[Μαϊ-25]]</f>
        <v>9.696481939562401E-4</v>
      </c>
      <c r="BD48" s="126">
        <f>Table684[[#This Row],[Ιουν-25]]*Table6[[#This Row],[Ιουν-25]]</f>
        <v>-3.5253383695310018E-5</v>
      </c>
      <c r="BE48" s="107"/>
      <c r="BF48" s="153" cm="1">
        <f t="array" ref="BF48">PRODUCT(1+Table68[[#This Row],[Ιαν-21]:[Ιουν-25]])-1</f>
        <v>2.022930746140772E-2</v>
      </c>
      <c r="BG48" s="112" t="s">
        <v>115</v>
      </c>
      <c r="BH48" s="112" t="str">
        <f>IF(Table68[[#This Row],[Cumulative Return ]]&lt;0,"Negative", IF(Table68[[#This Row],[Cumulative Return ]]&lt;0.025,"Positive","High Positive"))</f>
        <v>Positive</v>
      </c>
      <c r="BI48" s="113">
        <f>SLOPE(C48:BD48,$C$54:$BD$54)</f>
        <v>1.8614040921055376E-2</v>
      </c>
      <c r="BJ48" s="113"/>
      <c r="BK48" s="157"/>
      <c r="BM48" s="106" t="s">
        <v>28</v>
      </c>
      <c r="BN48" s="107">
        <v>4.0241814874333537E-2</v>
      </c>
    </row>
    <row r="49" spans="1:88">
      <c r="A49" s="110" t="s">
        <v>265</v>
      </c>
      <c r="B49" s="110" t="s">
        <v>266</v>
      </c>
      <c r="C49" s="126">
        <f>Table684[[#This Row],[Ιαν-21]]*Table6[[#This Row],[Ιαν-21]]</f>
        <v>-1.0206903787640333E-3</v>
      </c>
      <c r="D49" s="107">
        <f>Table684[[#This Row],[Φεβ-21]]*Table6[[#This Row],[Φεβ-21]]</f>
        <v>-5.2757658191923088E-4</v>
      </c>
      <c r="E49" s="107">
        <f>Table684[[#This Row],[Μαρ-21]]*Table6[[#This Row],[Μαρ-21]]</f>
        <v>6.7552938761236974E-4</v>
      </c>
      <c r="F49" s="107">
        <f>Table684[[#This Row],[Απρ-21]]*Table6[[#This Row],[Απρ-21]]</f>
        <v>5.9050086833791966E-5</v>
      </c>
      <c r="G49" s="107">
        <f>Table684[[#This Row],[Μαϊ-21]]*Table6[[#This Row],[Μαϊ-21]]</f>
        <v>-6.3636261914735385E-4</v>
      </c>
      <c r="H49" s="126">
        <f>Table684[[#This Row],[Ιουν-21]]*Table6[[#This Row],[Ιουν-21]]</f>
        <v>8.1148882593641807E-4</v>
      </c>
      <c r="I49" s="107">
        <f>Table684[[#This Row],[Ιουλ-21]]*Table6[[#This Row],[Ιουλ-21]]</f>
        <v>3.5632439239550003E-4</v>
      </c>
      <c r="J49" s="107">
        <f>Table684[[#This Row],[Αυγ-21]]*Table6[[#This Row],[Αυγ-21]]</f>
        <v>2.917004729490194E-4</v>
      </c>
      <c r="K49" s="107">
        <f>Table684[[#This Row],[Σεπ-21]]*Table6[[#This Row],[Σεπ-21]]</f>
        <v>-1.2683157796564296E-3</v>
      </c>
      <c r="L49" s="107">
        <f>Table684[[#This Row],[Οκτ-21]]*Table6[[#This Row],[Οκτ-21]]</f>
        <v>7.0451106938607445E-5</v>
      </c>
      <c r="M49" s="107">
        <f>Table684[[#This Row],[Νοε-21]]*Table6[[#This Row],[Νοε-21]]</f>
        <v>-1.3804406421016884E-5</v>
      </c>
      <c r="N49" s="107">
        <f>Table684[[#This Row],[Δεκ-21]]*Table6[[#This Row],[Δεκ-21]]</f>
        <v>-1.3567188004822586E-4</v>
      </c>
      <c r="O49" s="126">
        <f>Table684[[#This Row],[Ιαν-22]]*Table6[[#This Row],[Ιαν-22]]</f>
        <v>5.7163991186654081E-4</v>
      </c>
      <c r="P49" s="107">
        <f>Table684[[#This Row],[Φεβ-22]]*Table6[[#This Row],[Φεβ-22]]</f>
        <v>-9.7553011882592171E-4</v>
      </c>
      <c r="Q49" s="107">
        <f>Table684[[#This Row],[Μαρ-22]]*Table6[[#This Row],[Μαρ-22]]</f>
        <v>-1.3644410392070747E-3</v>
      </c>
      <c r="R49" s="107">
        <f>Table684[[#This Row],[Απρ-22]]*Table6[[#This Row],[Απρ-22]]</f>
        <v>-1.2993756459095873E-3</v>
      </c>
      <c r="S49" s="107">
        <f>Table684[[#This Row],[Μαϊ-22]]*Table6[[#This Row],[Μαϊ-22]]</f>
        <v>-1.7043199485334729E-4</v>
      </c>
      <c r="T49" s="126">
        <f>Table684[[#This Row],[Ιουν-22]]*Table6[[#This Row],[Ιουν-22]]</f>
        <v>-2.2465848284545166E-3</v>
      </c>
      <c r="U49" s="107">
        <f>Table684[[#This Row],[Ιουλ-22]]*Table6[[#This Row],[Ιουλ-22]]</f>
        <v>1.2391217100251714E-3</v>
      </c>
      <c r="V49" s="107">
        <f>Table684[[#This Row],[Αυγ-22]]*Table6[[#This Row],[Αυγ-22]]</f>
        <v>-2.120123102209515E-3</v>
      </c>
      <c r="W49" s="107">
        <f>Table684[[#This Row],[Σεπ-22]]*Table6[[#This Row],[Σεπ-22]]</f>
        <v>-2.0565411530085623E-3</v>
      </c>
      <c r="X49" s="107">
        <f>Table684[[#This Row],[Οκτ-22]]*Table6[[#This Row],[Οκτ-22]]</f>
        <v>1.9212666772913447E-4</v>
      </c>
      <c r="Y49" s="107">
        <f>Table684[[#This Row],[Νοε-22]]*Table6[[#This Row],[Νοε-22]]</f>
        <v>5.5730331974886431E-4</v>
      </c>
      <c r="Z49" s="107">
        <f>Table684[[#This Row],[Δεκ-22]]*Table6[[#This Row],[Δεκ-22]]</f>
        <v>-6.5318734071979987E-4</v>
      </c>
      <c r="AA49" s="126">
        <f>Table684[[#This Row],[Ιαν-23]]*Table6[[#This Row],[Ιαν-23]]</f>
        <v>2.3958241527646624E-3</v>
      </c>
      <c r="AB49" s="107">
        <f>Table684[[#This Row],[Φεβ-23]]*Table6[[#This Row],[Φεβ-23]]</f>
        <v>-1.1099978643242297E-3</v>
      </c>
      <c r="AC49" s="107">
        <f>Table684[[#This Row],[Μαρ-23]]*Table6[[#This Row],[Μαρ-23]]</f>
        <v>-3.6148121354464295E-3</v>
      </c>
      <c r="AD49" s="107">
        <f>Table684[[#This Row],[Απρ-23]]*Table6[[#This Row],[Απρ-23]]</f>
        <v>1.2565574908248104E-3</v>
      </c>
      <c r="AE49" s="107">
        <f>Table684[[#This Row],[Μαϊ-23]]*Table6[[#This Row],[Μαϊ-23]]</f>
        <v>-9.0694239922654125E-4</v>
      </c>
      <c r="AF49" s="126">
        <f>Table684[[#This Row],[Ιουν-23]]*Table6[[#This Row],[Ιουν-23]]</f>
        <v>5.7163991186654081E-4</v>
      </c>
      <c r="AG49" s="107">
        <f>Table684[[#This Row],[Ιουλ-23]]*Table6[[#This Row],[Ιουλ-23]]</f>
        <v>2.5392409009718756E-3</v>
      </c>
      <c r="AH49" s="107">
        <f>Table684[[#This Row],[Αυγ-23]]*Table6[[#This Row],[Αυγ-23]]</f>
        <v>6.5720073495362675E-4</v>
      </c>
      <c r="AI49" s="107">
        <f>Table684[[#This Row],[Σεπ-23]]*Table6[[#This Row],[Σεπ-23]]</f>
        <v>4.364544942907454E-4</v>
      </c>
      <c r="AJ49" s="107">
        <f>Table684[[#This Row],[Οκτ-23]]*Table6[[#This Row],[Οκτ-23]]</f>
        <v>-7.7210880963404999E-4</v>
      </c>
      <c r="AK49" s="107">
        <f>Table684[[#This Row],[Νοε-23]]*Table6[[#This Row],[Νοε-23]]</f>
        <v>3.1035093612325282E-3</v>
      </c>
      <c r="AL49" s="107">
        <f>Table684[[#This Row],[Δεκ-23]]*Table6[[#This Row],[Δεκ-23]]</f>
        <v>2.1649526017222098E-3</v>
      </c>
      <c r="AM49" s="126">
        <f>Table684[[#This Row],[Ιαν-24]]*Table6[[#This Row],[Ιαν-24]]</f>
        <v>5.1967264715140066E-5</v>
      </c>
      <c r="AN49" s="107">
        <f>Table684[[#This Row],[Φεβ-24]]*Table6[[#This Row],[Φεβ-24]]</f>
        <v>-1.3177253352665917E-3</v>
      </c>
      <c r="AO49" s="107">
        <f>Table684[[#This Row],[Μαρ-24]]*Table6[[#This Row],[Μαρ-24]]</f>
        <v>6.6109426461475424E-4</v>
      </c>
      <c r="AP49" s="107">
        <f>Table684[[#This Row],[Απρ-24]]*Table6[[#This Row],[Απρ-24]]</f>
        <v>-1.341580708396921E-4</v>
      </c>
      <c r="AQ49" s="107">
        <f>Table684[[#This Row],[Μαϊ-24]]*Table6[[#This Row],[Μαϊ-24]]</f>
        <v>1.1334556818152117E-3</v>
      </c>
      <c r="AR49" s="126">
        <f>Table684[[#This Row],[Ιουν-24]]*Table6[[#This Row],[Ιουν-24]]</f>
        <v>-1.0313503305004721E-3</v>
      </c>
      <c r="AS49" s="107">
        <f>Table684[[#This Row],[Ιουλ-24]]*Table6[[#This Row],[Ιουλ-24]]</f>
        <v>9.1543906019386681E-4</v>
      </c>
      <c r="AT49" s="107">
        <f>Table684[[#This Row],[Αυγ-24]]*Table6[[#This Row],[Αυγ-24]]</f>
        <v>1.270397447329801E-3</v>
      </c>
      <c r="AU49" s="107">
        <f>Table684[[#This Row],[Σεπ-24]]*Table6[[#This Row],[Σεπ-24]]</f>
        <v>7.1639581156148966E-4</v>
      </c>
      <c r="AV49" s="107">
        <f>Table684[[#This Row],[Οκτ-24]]*Table6[[#This Row],[Οκτ-24]]</f>
        <v>-1.2060944039187984E-3</v>
      </c>
      <c r="AW49" s="107">
        <f>Table684[[#This Row],[Νοε-24]]*Table6[[#This Row],[Νοε-24]]</f>
        <v>5.6036520492850381E-4</v>
      </c>
      <c r="AX49" s="107">
        <f>Table684[[#This Row],[Δεκ-24]]*Table6[[#This Row],[Δεκ-24]]</f>
        <v>-8.9920252840813212E-4</v>
      </c>
      <c r="AY49" s="126">
        <f>Table684[[#This Row],[Ιαν-25]]*Table6[[#This Row],[Ιαν-25]]</f>
        <v>3.597733711048159E-5</v>
      </c>
      <c r="AZ49" s="107">
        <f>Table684[[#This Row],[Φεβ-25]]*Table6[[#This Row],[Φεβ-25]]</f>
        <v>2.3214087504941529E-4</v>
      </c>
      <c r="BA49" s="107">
        <f>Table684[[#This Row],[Μαρ-25]]*Table6[[#This Row],[Μαρ-25]]</f>
        <v>-2.0026093029660123E-3</v>
      </c>
      <c r="BB49" s="107">
        <f>Table684[[#This Row],[Απρ-25]]*Table6[[#This Row],[Απρ-25]]</f>
        <v>1.7192915893082859E-3</v>
      </c>
      <c r="BC49" s="107">
        <f>Table684[[#This Row],[Μαϊ-25]]*Table6[[#This Row],[Μαϊ-25]]</f>
        <v>3.593497521296496E-4</v>
      </c>
      <c r="BD49" s="126">
        <f>Table684[[#This Row],[Ιουν-25]]*Table6[[#This Row],[Ιουν-25]]</f>
        <v>5.4632252649249816E-4</v>
      </c>
      <c r="BE49" s="107"/>
      <c r="BF49" s="153" cm="1">
        <f t="array" ref="BF49">PRODUCT(1+Table68[[#This Row],[Ιαν-21]:[Ιουν-25]])-1</f>
        <v>-1.3743423611047856E-3</v>
      </c>
      <c r="BG49" s="112" t="s">
        <v>123</v>
      </c>
      <c r="BH49" s="112" t="str">
        <f>IF(Table68[[#This Row],[Cumulative Return ]]&lt;0,"Negative", IF(Table68[[#This Row],[Cumulative Return ]]&lt;0.025,"Positive","High Positive"))</f>
        <v>Negative</v>
      </c>
      <c r="BI49" s="113">
        <f>SLOPE(C49:BD49,$C$54:$BD$54)</f>
        <v>2.0504577211759654E-2</v>
      </c>
      <c r="BJ49" s="113"/>
      <c r="BK49" s="157"/>
      <c r="BM49" s="106" t="s">
        <v>56</v>
      </c>
      <c r="BN49" s="107">
        <v>4.1876618486555106E-2</v>
      </c>
    </row>
    <row r="50" spans="1:88" s="104" customFormat="1" ht="26.25" customHeight="1">
      <c r="A50" s="116"/>
      <c r="B50" s="116" t="s">
        <v>2027</v>
      </c>
      <c r="C50" s="116">
        <f>SUBTOTAL(109,C2:C49)</f>
        <v>-1.1138500359857048E-2</v>
      </c>
      <c r="D50" s="116">
        <f>SUBTOTAL(109,D2:D49)</f>
        <v>4.0666454245117542E-2</v>
      </c>
      <c r="E50" s="116">
        <f>SUBTOTAL(109,E2:E49)</f>
        <v>6.7753487103957302E-2</v>
      </c>
      <c r="F50" s="116">
        <f>SUBTOTAL(109,F2:F49)</f>
        <v>1.7063514820520598E-2</v>
      </c>
      <c r="G50" s="116">
        <f>SUBTOTAL(109,G2:G49)</f>
        <v>3.1130445534759923E-2</v>
      </c>
      <c r="H50" s="116">
        <f>SUBTOTAL(109,H2:H49)</f>
        <v>1.5626707666814801E-2</v>
      </c>
      <c r="I50" s="116">
        <f>SUBTOTAL(109,I2:I49)</f>
        <v>1.3017183684100269E-2</v>
      </c>
      <c r="J50" s="116">
        <f>SUBTOTAL(109,J2:J49)</f>
        <v>2.6327784208046802E-2</v>
      </c>
      <c r="K50" s="116">
        <f>SUBTOTAL(109,K2:K49)</f>
        <v>-2.3015983848646688E-2</v>
      </c>
      <c r="L50" s="116">
        <f>SUBTOTAL(109,L2:L49)</f>
        <v>4.5220431143292689E-2</v>
      </c>
      <c r="M50" s="116">
        <f>SUBTOTAL(109,M2:M49)</f>
        <v>-3.9072635336053867E-2</v>
      </c>
      <c r="N50" s="116">
        <f>SUBTOTAL(109,N2:N49)</f>
        <v>6.1042074675255131E-2</v>
      </c>
      <c r="O50" s="127">
        <f>SUBTOTAL(109,O2:O49)</f>
        <v>-8.5370812536690027E-3</v>
      </c>
      <c r="P50" s="116">
        <f>SUBTOTAL(109,P2:P49)</f>
        <v>-3.5643665976271145E-2</v>
      </c>
      <c r="Q50" s="116">
        <f>SUBTOTAL(109,Q2:Q49)</f>
        <v>1.5235091170590126E-2</v>
      </c>
      <c r="R50" s="116">
        <f>SUBTOTAL(109,R2:R49)</f>
        <v>8.5584691089227276E-3</v>
      </c>
      <c r="S50" s="116">
        <f>SUBTOTAL(109,S2:S49)</f>
        <v>-1.0930672029838055E-2</v>
      </c>
      <c r="T50" s="127">
        <f>SUBTOTAL(109,T2:T49)</f>
        <v>-7.9129564510232772E-2</v>
      </c>
      <c r="U50" s="116">
        <f>SUBTOTAL(109,U2:U49)</f>
        <v>6.149272816465471E-2</v>
      </c>
      <c r="V50" s="116">
        <f>SUBTOTAL(109,V2:V49)</f>
        <v>-5.1050686942226253E-2</v>
      </c>
      <c r="W50" s="116">
        <f>SUBTOTAL(109,W2:W49)</f>
        <v>-5.2232537091284906E-2</v>
      </c>
      <c r="X50" s="116">
        <f>SUBTOTAL(109,X2:X49)</f>
        <v>7.4309711067956266E-2</v>
      </c>
      <c r="Y50" s="116">
        <f>SUBTOTAL(109,Y2:Y49)</f>
        <v>7.751242005754945E-2</v>
      </c>
      <c r="Z50" s="116">
        <f>SUBTOTAL(109,Z2:Z49)</f>
        <v>-3.3694032274164627E-2</v>
      </c>
      <c r="AA50" s="127">
        <f>SUBTOTAL(109,AA2:AA49)</f>
        <v>9.0541570665171475E-2</v>
      </c>
      <c r="AB50" s="116">
        <f>SUBTOTAL(109,AB2:AB49)</f>
        <v>1.7753309039267667E-2</v>
      </c>
      <c r="AC50" s="116">
        <f>SUBTOTAL(109,AC2:AC49)</f>
        <v>4.159259926088274E-3</v>
      </c>
      <c r="AD50" s="116">
        <f>SUBTOTAL(109,AD2:AD49)</f>
        <v>2.7647761239081685E-2</v>
      </c>
      <c r="AE50" s="116">
        <f>SUBTOTAL(109,AE2:AE49)</f>
        <v>-1.1945886227406423E-2</v>
      </c>
      <c r="AF50" s="127">
        <f>SUBTOTAL(109,AF2:AF49)</f>
        <v>3.160958469229274E-2</v>
      </c>
      <c r="AG50" s="116">
        <f>SUBTOTAL(109,AG2:AG49)</f>
        <v>2.0722572436511853E-2</v>
      </c>
      <c r="AH50" s="116">
        <f>SUBTOTAL(109,AH2:AH49)</f>
        <v>-1.8992388726915884E-2</v>
      </c>
      <c r="AI50" s="116">
        <f>SUBTOTAL(109,AI2:AI49)</f>
        <v>-1.4739227089785104E-2</v>
      </c>
      <c r="AJ50" s="116">
        <f>SUBTOTAL(109,AJ2:AJ49)</f>
        <v>-3.8991361039113243E-2</v>
      </c>
      <c r="AK50" s="116">
        <f>SUBTOTAL(109,AK2:AK49)</f>
        <v>8.7807537749343204E-2</v>
      </c>
      <c r="AL50" s="116">
        <f>SUBTOTAL(109,AL2:AL49)</f>
        <v>4.3767273488220175E-2</v>
      </c>
      <c r="AM50" s="116">
        <f>SUBTOTAL(109,AM2:AM49)</f>
        <v>1.7181683497243139E-2</v>
      </c>
      <c r="AN50" s="116">
        <f>SUBTOTAL(109,AN2:AN49)</f>
        <v>3.4588418062677768E-2</v>
      </c>
      <c r="AO50" s="116">
        <f>SUBTOTAL(109,AO2:AO49)</f>
        <v>5.5135343836078231E-2</v>
      </c>
      <c r="AP50" s="116">
        <f>SUBTOTAL(109,AP2:AP49)</f>
        <v>-2.1948626348020682E-3</v>
      </c>
      <c r="AQ50" s="116">
        <f>SUBTOTAL(109,AQ2:AQ49)</f>
        <v>4.5078505324244261E-2</v>
      </c>
      <c r="AR50" s="116">
        <f>SUBTOTAL(109,AR2:AR49)</f>
        <v>-1.1612880888066196E-2</v>
      </c>
      <c r="AS50" s="116">
        <f>SUBTOTAL(109,AS2:AS49)</f>
        <v>2.8000604210409799E-2</v>
      </c>
      <c r="AT50" s="116">
        <f>SUBTOTAL(109,AT2:AT49)</f>
        <v>2.7118727158425872E-2</v>
      </c>
      <c r="AU50" s="116">
        <f>SUBTOTAL(109,AU2:AU49)</f>
        <v>-1.0900124787194558E-4</v>
      </c>
      <c r="AV50" s="116">
        <f>SUBTOTAL(109,AV2:AV49)</f>
        <v>-2.2285314730438363E-2</v>
      </c>
      <c r="AW50" s="116">
        <f>SUBTOTAL(109,AW2:AW49)</f>
        <v>1.8202994074288045E-2</v>
      </c>
      <c r="AX50" s="116">
        <f>SUBTOTAL(109,AX2:AX49)</f>
        <v>2.46962770484361E-3</v>
      </c>
      <c r="AY50" s="116">
        <f>SUBTOTAL(109,AY2:AY49)</f>
        <v>7.6282442676424908E-2</v>
      </c>
      <c r="AZ50" s="116">
        <f>SUBTOTAL(109,AZ2:AZ49)</f>
        <v>5.0152418035752273E-2</v>
      </c>
      <c r="BA50" s="116">
        <f>SUBTOTAL(109,BA2:BA49)</f>
        <v>-2.2493403969532193E-2</v>
      </c>
      <c r="BB50" s="116">
        <f>SUBTOTAL(109,BB2:BB49)</f>
        <v>7.6352855229589048E-3</v>
      </c>
      <c r="BC50" s="116">
        <f>SUBTOTAL(109,BC2:BC49)</f>
        <v>4.6754752588458841E-2</v>
      </c>
      <c r="BD50" s="116">
        <f>SUBTOTAL(109,BD2:BD49)</f>
        <v>-2.7096547391304321E-2</v>
      </c>
      <c r="BE50" s="117"/>
      <c r="BF50" s="152" cm="1">
        <f t="array" ref="BF50">PRODUCT(1+Table68[[#This Row],[Ιαν-21]:[Ιουν-25]])-1</f>
        <v>1.0725705992926953</v>
      </c>
      <c r="BG50" s="118"/>
      <c r="BH50" s="118"/>
      <c r="BI50" s="118"/>
      <c r="BJ50" s="118"/>
      <c r="BK50" s="158"/>
      <c r="BM50" s="106" t="s">
        <v>238</v>
      </c>
      <c r="BN50" s="107">
        <v>4.3212346059779305E-2</v>
      </c>
      <c r="CB50" s="160"/>
      <c r="CJ50" s="160"/>
    </row>
    <row r="51" spans="1:88" s="104" customFormat="1" ht="25.5" customHeight="1">
      <c r="A51" s="119"/>
      <c r="B51" s="119" t="s">
        <v>2028</v>
      </c>
      <c r="C51" s="119">
        <f>(1*(C50+1))</f>
        <v>0.98886149964014292</v>
      </c>
      <c r="D51" s="119">
        <f>(Table68[[#This Row],[Ιαν-21]]*(D50+1))</f>
        <v>1.0290749905700172</v>
      </c>
      <c r="E51" s="119">
        <f>(Table68[[#This Row],[Φεβ-21]]*(E50+1))</f>
        <v>1.0987984096726078</v>
      </c>
      <c r="F51" s="119">
        <f>(Table68[[#This Row],[Μαρ-21]]*(F50+1))</f>
        <v>1.1175477726208209</v>
      </c>
      <c r="G51" s="119">
        <f>(Table68[[#This Row],[Απρ-21]]*(G50+1))</f>
        <v>1.1523375326888856</v>
      </c>
      <c r="H51" s="119">
        <f>(Table68[[#This Row],[Μαϊ-21]]*(H50+1))</f>
        <v>1.1703447744457136</v>
      </c>
      <c r="I51" s="119">
        <f>(Table68[[#This Row],[Ιουν-21]]*(I50+1))</f>
        <v>1.1855793673484003</v>
      </c>
      <c r="J51" s="119">
        <f>(Table68[[#This Row],[Ιουλ-21]]*(J50+1))</f>
        <v>1.2167930450934614</v>
      </c>
      <c r="K51" s="119">
        <f>(Table68[[#This Row],[Αυγ-21]]*(K50+1))</f>
        <v>1.1887873560204447</v>
      </c>
      <c r="L51" s="119">
        <f>(Table68[[#This Row],[Σεπ-21]]*(L50+1))</f>
        <v>1.2425448327973843</v>
      </c>
      <c r="M51" s="119">
        <f>(Table68[[#This Row],[Οκτ-21]]*(M50+1))</f>
        <v>1.1939953316567939</v>
      </c>
      <c r="N51" s="119">
        <f>(Table68[[#This Row],[Νοε-21]]*(N50+1))</f>
        <v>1.266879283853694</v>
      </c>
      <c r="O51" s="128">
        <f>(Table68[[#This Row],[Δεκ-21]]*(O50+1))</f>
        <v>1.2560638324688449</v>
      </c>
      <c r="P51" s="119">
        <f>(Table68[[#This Row],[Ιαν-22]]*(P50+1))</f>
        <v>1.2112931127794504</v>
      </c>
      <c r="Q51" s="119">
        <f>(Table68[[#This Row],[Φεβ-22]]*(Q50+1))</f>
        <v>1.2297472737869533</v>
      </c>
      <c r="R51" s="119">
        <f>(Table68[[#This Row],[Μαρ-22]]*(R50+1))</f>
        <v>1.2402720278414407</v>
      </c>
      <c r="S51" s="119">
        <f>(Table68[[#This Row],[Απρ-22]]*(S50+1))</f>
        <v>1.2267150210773237</v>
      </c>
      <c r="T51" s="128">
        <f>(Table68[[#This Row],[Μαϊ-22]]*(T50+1))</f>
        <v>1.1296455956813141</v>
      </c>
      <c r="U51" s="119">
        <f>(Table68[[#This Row],[Ιουν-22]]*(U50+1))</f>
        <v>1.1991105852189445</v>
      </c>
      <c r="V51" s="119">
        <f>(Table68[[#This Row],[Ιουλ-22]]*(V50+1))</f>
        <v>1.1378951661238226</v>
      </c>
      <c r="W51" s="119">
        <f>(Table68[[#This Row],[Αυγ-22]]*(W50+1))</f>
        <v>1.0784600146532661</v>
      </c>
      <c r="X51" s="119">
        <f>(Table68[[#This Row],[Σεπ-22]]*(X50+1))</f>
        <v>1.1586000667404941</v>
      </c>
      <c r="Y51" s="119">
        <f>(Table68[[#This Row],[Οκτ-22]]*(Y50+1))</f>
        <v>1.2484059617923882</v>
      </c>
      <c r="Z51" s="119">
        <f>(Table68[[#This Row],[Νοε-22]]*(Z50+1))</f>
        <v>1.2063421310244959</v>
      </c>
      <c r="AA51" s="128">
        <f>(Table68[[#This Row],[Δεκ-22]]*(AA50+1))</f>
        <v>1.315566242327024</v>
      </c>
      <c r="AB51" s="119">
        <f>(Table68[[#This Row],[Ιαν-23]]*(AB50+1))</f>
        <v>1.3389218963886838</v>
      </c>
      <c r="AC51" s="119">
        <f>(Table68[[#This Row],[Φεβ-23]]*(AC50+1))</f>
        <v>1.3444908205764952</v>
      </c>
      <c r="AD51" s="119">
        <f>(Table68[[#This Row],[Μαρ-23]]*(AD50+1))</f>
        <v>1.3816629817719313</v>
      </c>
      <c r="AE51" s="119">
        <f>(Table68[[#This Row],[Απρ-23]]*(AE50+1))</f>
        <v>1.3651577929870646</v>
      </c>
      <c r="AF51" s="128">
        <f>(Table68[[#This Row],[Μαϊ-23]]*(AF50+1))</f>
        <v>1.4083098638628329</v>
      </c>
      <c r="AG51" s="119">
        <f>(Table68[[#This Row],[Ιουν-23]]*(AG50+1))</f>
        <v>1.4374936670297846</v>
      </c>
      <c r="AH51" s="119">
        <f>(Table68[[#This Row],[Ιουλ-23]]*(AH50+1))</f>
        <v>1.4101922285130752</v>
      </c>
      <c r="AI51" s="119">
        <f>(Table68[[#This Row],[Αυγ-23]]*(AI50+1))</f>
        <v>1.3894070850167708</v>
      </c>
      <c r="AJ51" s="119">
        <f>(Table68[[#This Row],[Σεπ-23]]*(AJ50+1))</f>
        <v>1.3352322117345798</v>
      </c>
      <c r="AK51" s="119">
        <f>(Table68[[#This Row],[Οκτ-23]]*(AK50+1))</f>
        <v>1.452475664570603</v>
      </c>
      <c r="AL51" s="119">
        <f>(Table68[[#This Row],[Νοε-23]]*(AL50+1))</f>
        <v>1.5160465642168488</v>
      </c>
      <c r="AM51" s="119">
        <f>(Table68[[#This Row],[Δεκ-23]]*(AM50+1))</f>
        <v>1.5420947964503056</v>
      </c>
      <c r="AN51" s="119">
        <f>(Table68[[#This Row],[Ιαν-24]]*(AN50+1))</f>
        <v>1.5954334159622088</v>
      </c>
      <c r="AO51" s="119">
        <f>(Table68[[#This Row],[Φεβ-24]]*(AO50+1))</f>
        <v>1.683398185918854</v>
      </c>
      <c r="AP51" s="119">
        <f>(Table68[[#This Row],[Μαρ-24]]*(AP50+1))</f>
        <v>1.6797033581410872</v>
      </c>
      <c r="AQ51" s="119">
        <f>(Table68[[#This Row],[Απρ-24]]*(AQ50+1))</f>
        <v>1.755421874914201</v>
      </c>
      <c r="AR51" s="119">
        <f>(Table68[[#This Row],[Μαϊ-24]]*(AR50+1))</f>
        <v>1.7350363697725164</v>
      </c>
      <c r="AS51" s="119">
        <f>(Table68[[#This Row],[Ιουν-24]]*(AS50+1))</f>
        <v>1.7836184364531826</v>
      </c>
      <c r="AT51" s="119">
        <f>(Table68[[#This Row],[Ιουλ-24]]*(AT50+1))</f>
        <v>1.8319878981860946</v>
      </c>
      <c r="AU51" s="119">
        <f>(Table68[[#This Row],[Αυγ-24]]*(AU50+1))</f>
        <v>1.831788209219106</v>
      </c>
      <c r="AV51" s="119">
        <f>(Table68[[#This Row],[Σεπ-24]]*(AV50+1))</f>
        <v>1.790966232457152</v>
      </c>
      <c r="AW51" s="119">
        <f>(Table68[[#This Row],[Οκτ-24]]*(AW50+1))</f>
        <v>1.8235671801738196</v>
      </c>
      <c r="AX51" s="119">
        <f>(Table68[[#This Row],[Νοε-24]]*(AX50+1))</f>
        <v>1.8280707122036206</v>
      </c>
      <c r="AY51" s="119">
        <f>(Table68[[#This Row],[Δεκ-24]]*(AY50+1))</f>
        <v>1.9675204115157443</v>
      </c>
      <c r="AZ51" s="119">
        <f>(Table68[[#This Row],[Ιαν-25]]*(AZ50+1))</f>
        <v>2.066196317687957</v>
      </c>
      <c r="BA51" s="119">
        <f>(Table68[[#This Row],[Φεβ-25]]*(BA50+1))</f>
        <v>2.019720529233842</v>
      </c>
      <c r="BB51" s="119">
        <f>(Table68[[#This Row],[Μαρ-25]]*(BB50+1))</f>
        <v>2.035141672151124</v>
      </c>
      <c r="BC51" s="119">
        <f>(Table68[[#This Row],[Απρ-25]]*(BC50+1))</f>
        <v>2.1302942175150124</v>
      </c>
      <c r="BD51" s="119">
        <f>(Table68[[#This Row],[Μαϊ-25]]*(BD50+1))</f>
        <v>2.0725705992926953</v>
      </c>
      <c r="BF51" s="143"/>
      <c r="BG51" s="149"/>
      <c r="BH51" s="142"/>
      <c r="BI51" s="150"/>
      <c r="BJ51" s="62"/>
      <c r="BK51" s="156"/>
      <c r="BL51" s="62"/>
      <c r="BM51" s="106" t="s">
        <v>160</v>
      </c>
      <c r="BN51" s="107">
        <v>9.2553059552897388E-2</v>
      </c>
      <c r="BO51" s="62"/>
      <c r="BP51" s="62"/>
      <c r="BQ51" s="62"/>
      <c r="BR51" s="62"/>
      <c r="CB51" s="160"/>
      <c r="CJ51" s="160"/>
    </row>
    <row r="52" spans="1:88" ht="23.25" hidden="1" customHeight="1">
      <c r="C52" s="62">
        <v>-1.1000000000000001</v>
      </c>
      <c r="D52" s="62">
        <v>2.31</v>
      </c>
      <c r="E52" s="62">
        <v>6.08</v>
      </c>
      <c r="F52" s="62">
        <v>1.81</v>
      </c>
      <c r="G52" s="62">
        <v>2.14</v>
      </c>
      <c r="H52" s="62">
        <v>1.36</v>
      </c>
      <c r="I52" s="62">
        <v>1.97</v>
      </c>
      <c r="J52" s="62">
        <v>1.98</v>
      </c>
      <c r="K52" s="62">
        <v>-3.41</v>
      </c>
      <c r="L52" s="62">
        <v>4.55</v>
      </c>
      <c r="M52" s="62">
        <v>-2.64</v>
      </c>
      <c r="N52" s="62">
        <v>5.56</v>
      </c>
      <c r="O52" s="129">
        <v>-4.0599999999999996</v>
      </c>
      <c r="P52" s="62">
        <v>-3.36</v>
      </c>
      <c r="Q52" s="62">
        <v>0.61</v>
      </c>
      <c r="R52" s="62">
        <v>-1.2</v>
      </c>
      <c r="S52" s="62">
        <v>-1.56</v>
      </c>
      <c r="T52" s="129">
        <v>-8.15</v>
      </c>
      <c r="U52" s="62">
        <v>7.64</v>
      </c>
      <c r="V52" s="62">
        <v>-5.29</v>
      </c>
      <c r="W52" s="62">
        <v>-6.57</v>
      </c>
      <c r="X52" s="62">
        <v>6.28</v>
      </c>
      <c r="Y52" s="62">
        <v>6.75</v>
      </c>
      <c r="Z52" s="62">
        <v>-3.44</v>
      </c>
      <c r="AA52" s="129">
        <v>6.67</v>
      </c>
      <c r="AB52" s="62">
        <v>1.74</v>
      </c>
      <c r="AC52" s="62">
        <v>-0.71</v>
      </c>
      <c r="AD52" s="62">
        <v>1.92</v>
      </c>
      <c r="AE52" s="62">
        <v>-3.19</v>
      </c>
      <c r="AF52" s="129">
        <v>2.25</v>
      </c>
      <c r="AG52" s="62">
        <v>2.04</v>
      </c>
      <c r="AH52" s="62">
        <v>-2.79</v>
      </c>
      <c r="AI52" s="62">
        <v>-1.74</v>
      </c>
      <c r="AJ52" s="62">
        <v>-3.68</v>
      </c>
      <c r="AK52" s="62">
        <v>6.45</v>
      </c>
      <c r="AL52" s="62">
        <v>3.77</v>
      </c>
      <c r="AM52" s="62">
        <v>1.39</v>
      </c>
      <c r="AN52" s="62">
        <v>1.84</v>
      </c>
      <c r="AO52" s="62">
        <v>3.65</v>
      </c>
      <c r="AP52" s="62">
        <v>-1.52</v>
      </c>
      <c r="AQ52" s="62">
        <v>2.63</v>
      </c>
      <c r="AR52" s="62">
        <v>-1.3</v>
      </c>
      <c r="AS52" s="62">
        <v>1.32</v>
      </c>
      <c r="AT52" s="62">
        <v>1.33</v>
      </c>
      <c r="AU52" s="62">
        <v>-0.41</v>
      </c>
      <c r="AV52" s="62">
        <v>-3.35</v>
      </c>
      <c r="AW52" s="62">
        <v>0.96</v>
      </c>
      <c r="AX52" s="62">
        <v>-1.06</v>
      </c>
      <c r="AY52" s="62">
        <v>6.87</v>
      </c>
      <c r="AZ52" s="62">
        <v>3.27</v>
      </c>
      <c r="BA52" s="62">
        <v>-4.18</v>
      </c>
      <c r="BB52" s="62">
        <v>-1.21</v>
      </c>
      <c r="BC52" s="62">
        <v>4.0199999999999996</v>
      </c>
      <c r="BD52" s="62">
        <v>-1.33</v>
      </c>
      <c r="BF52" s="144"/>
      <c r="BH52" s="148"/>
      <c r="BI52" s="62"/>
      <c r="BJ52" s="62"/>
      <c r="BK52" s="156"/>
    </row>
    <row r="53" spans="1:88" ht="13.5" hidden="1" customHeight="1">
      <c r="A53" s="62" t="s">
        <v>2029</v>
      </c>
      <c r="B53" s="62" t="s">
        <v>2030</v>
      </c>
      <c r="C53" s="69" t="s">
        <v>1967</v>
      </c>
      <c r="D53" s="69" t="s">
        <v>1968</v>
      </c>
      <c r="E53" s="69" t="s">
        <v>1969</v>
      </c>
      <c r="F53" s="69" t="s">
        <v>1970</v>
      </c>
      <c r="G53" s="69" t="s">
        <v>1971</v>
      </c>
      <c r="H53" s="69" t="s">
        <v>1972</v>
      </c>
      <c r="I53" s="69" t="s">
        <v>1973</v>
      </c>
      <c r="J53" s="69" t="s">
        <v>1974</v>
      </c>
      <c r="K53" s="69" t="s">
        <v>1975</v>
      </c>
      <c r="L53" s="69" t="s">
        <v>1976</v>
      </c>
      <c r="M53" s="69" t="s">
        <v>1977</v>
      </c>
      <c r="N53" s="69" t="s">
        <v>1978</v>
      </c>
      <c r="O53" s="130" t="s">
        <v>1979</v>
      </c>
      <c r="P53" s="69" t="s">
        <v>1980</v>
      </c>
      <c r="Q53" s="69" t="s">
        <v>1981</v>
      </c>
      <c r="R53" s="69" t="s">
        <v>1982</v>
      </c>
      <c r="S53" s="69" t="s">
        <v>1983</v>
      </c>
      <c r="T53" s="130" t="s">
        <v>1984</v>
      </c>
      <c r="U53" s="69" t="s">
        <v>1985</v>
      </c>
      <c r="V53" s="69" t="s">
        <v>1986</v>
      </c>
      <c r="W53" s="69" t="s">
        <v>1987</v>
      </c>
      <c r="X53" s="69" t="s">
        <v>1988</v>
      </c>
      <c r="Y53" s="69" t="s">
        <v>1989</v>
      </c>
      <c r="Z53" s="69" t="s">
        <v>1990</v>
      </c>
      <c r="AA53" s="130" t="s">
        <v>1991</v>
      </c>
      <c r="AB53" s="69" t="s">
        <v>1992</v>
      </c>
      <c r="AC53" s="69" t="s">
        <v>1993</v>
      </c>
      <c r="AD53" s="69" t="s">
        <v>1994</v>
      </c>
      <c r="AE53" s="69" t="s">
        <v>1995</v>
      </c>
      <c r="AF53" s="130" t="s">
        <v>1996</v>
      </c>
      <c r="AG53" s="69" t="s">
        <v>1997</v>
      </c>
      <c r="AH53" s="69" t="s">
        <v>1998</v>
      </c>
      <c r="AI53" s="69" t="s">
        <v>1999</v>
      </c>
      <c r="AJ53" s="69" t="s">
        <v>2000</v>
      </c>
      <c r="AK53" s="69" t="s">
        <v>2001</v>
      </c>
      <c r="AL53" s="69" t="s">
        <v>2002</v>
      </c>
      <c r="AM53" s="69" t="s">
        <v>2031</v>
      </c>
      <c r="AN53" s="69" t="s">
        <v>2032</v>
      </c>
      <c r="AO53" s="69" t="s">
        <v>2033</v>
      </c>
      <c r="AP53" s="69" t="s">
        <v>2034</v>
      </c>
      <c r="AQ53" s="69" t="s">
        <v>2035</v>
      </c>
      <c r="AR53" s="69" t="s">
        <v>2036</v>
      </c>
      <c r="AS53" s="69" t="s">
        <v>2037</v>
      </c>
      <c r="AT53" s="69" t="s">
        <v>2038</v>
      </c>
      <c r="AU53" s="69" t="s">
        <v>2039</v>
      </c>
      <c r="AV53" s="69" t="s">
        <v>2040</v>
      </c>
      <c r="AW53" s="69" t="s">
        <v>2041</v>
      </c>
      <c r="AX53" s="69" t="s">
        <v>2042</v>
      </c>
      <c r="AY53" s="69" t="s">
        <v>2043</v>
      </c>
      <c r="AZ53" s="69" t="s">
        <v>2044</v>
      </c>
      <c r="BA53" s="69" t="s">
        <v>2045</v>
      </c>
      <c r="BB53" s="69" t="s">
        <v>2046</v>
      </c>
      <c r="BC53" s="69" t="s">
        <v>2047</v>
      </c>
      <c r="BD53" s="69" t="s">
        <v>2048</v>
      </c>
      <c r="BE53" s="62" t="s">
        <v>2004</v>
      </c>
      <c r="BF53" s="144" t="s">
        <v>2049</v>
      </c>
      <c r="BG53" s="62" t="s">
        <v>2050</v>
      </c>
      <c r="BH53" s="148"/>
      <c r="BI53" s="62"/>
      <c r="BJ53" s="62"/>
      <c r="BK53" s="156"/>
    </row>
    <row r="54" spans="1:88" s="122" customFormat="1" ht="25.5" customHeight="1">
      <c r="A54" s="120"/>
      <c r="B54" s="121" t="s">
        <v>2051</v>
      </c>
      <c r="C54" s="121">
        <f>C52/100</f>
        <v>-1.1000000000000001E-2</v>
      </c>
      <c r="D54" s="121">
        <f>D52/100</f>
        <v>2.3099999999999999E-2</v>
      </c>
      <c r="E54" s="121">
        <f>E52/100</f>
        <v>6.08E-2</v>
      </c>
      <c r="F54" s="121">
        <f>F52/100</f>
        <v>1.8100000000000002E-2</v>
      </c>
      <c r="G54" s="121">
        <f>G52/100</f>
        <v>2.1400000000000002E-2</v>
      </c>
      <c r="H54" s="121">
        <f>H52/100</f>
        <v>1.3600000000000001E-2</v>
      </c>
      <c r="I54" s="121">
        <f>I52/100</f>
        <v>1.9699999999999999E-2</v>
      </c>
      <c r="J54" s="121">
        <f>J52/100</f>
        <v>1.9799999999999998E-2</v>
      </c>
      <c r="K54" s="121">
        <f>K52/100</f>
        <v>-3.4099999999999998E-2</v>
      </c>
      <c r="L54" s="121">
        <f>L52/100</f>
        <v>4.5499999999999999E-2</v>
      </c>
      <c r="M54" s="121">
        <f>M52/100</f>
        <v>-2.64E-2</v>
      </c>
      <c r="N54" s="121">
        <f>N52/100</f>
        <v>5.5599999999999997E-2</v>
      </c>
      <c r="O54" s="131">
        <f>O52/100</f>
        <v>-4.0599999999999997E-2</v>
      </c>
      <c r="P54" s="121">
        <f>P52/100</f>
        <v>-3.3599999999999998E-2</v>
      </c>
      <c r="Q54" s="121">
        <f>Q52/100</f>
        <v>6.0999999999999995E-3</v>
      </c>
      <c r="R54" s="121">
        <f>R52/100</f>
        <v>-1.2E-2</v>
      </c>
      <c r="S54" s="121">
        <f>S52/100</f>
        <v>-1.5600000000000001E-2</v>
      </c>
      <c r="T54" s="131">
        <f>T52/100</f>
        <v>-8.1500000000000003E-2</v>
      </c>
      <c r="U54" s="121">
        <f>U52/100</f>
        <v>7.6399999999999996E-2</v>
      </c>
      <c r="V54" s="121">
        <f>V52/100</f>
        <v>-5.2900000000000003E-2</v>
      </c>
      <c r="W54" s="121">
        <f>W52/100</f>
        <v>-6.5700000000000008E-2</v>
      </c>
      <c r="X54" s="121">
        <f>X52/100</f>
        <v>6.2800000000000009E-2</v>
      </c>
      <c r="Y54" s="121">
        <f>Y52/100</f>
        <v>6.7500000000000004E-2</v>
      </c>
      <c r="Z54" s="121">
        <f>Z52/100</f>
        <v>-3.44E-2</v>
      </c>
      <c r="AA54" s="131">
        <f>AA52/100</f>
        <v>6.6699999999999995E-2</v>
      </c>
      <c r="AB54" s="121">
        <f>AB52/100</f>
        <v>1.7399999999999999E-2</v>
      </c>
      <c r="AC54" s="121">
        <f>AC52/100</f>
        <v>-7.0999999999999995E-3</v>
      </c>
      <c r="AD54" s="121">
        <f>AD52/100</f>
        <v>1.9199999999999998E-2</v>
      </c>
      <c r="AE54" s="121">
        <f>AE52/100</f>
        <v>-3.1899999999999998E-2</v>
      </c>
      <c r="AF54" s="131">
        <f>AF52/100</f>
        <v>2.2499999999999999E-2</v>
      </c>
      <c r="AG54" s="121">
        <f>AG52/100</f>
        <v>2.0400000000000001E-2</v>
      </c>
      <c r="AH54" s="121">
        <f>AH52/100</f>
        <v>-2.7900000000000001E-2</v>
      </c>
      <c r="AI54" s="121">
        <f>AI52/100</f>
        <v>-1.7399999999999999E-2</v>
      </c>
      <c r="AJ54" s="121">
        <f>AJ52/100</f>
        <v>-3.6799999999999999E-2</v>
      </c>
      <c r="AK54" s="121">
        <f>AK52/100</f>
        <v>6.4500000000000002E-2</v>
      </c>
      <c r="AL54" s="121">
        <f>AL52/100</f>
        <v>3.7699999999999997E-2</v>
      </c>
      <c r="AM54" s="121">
        <f>AM52/100</f>
        <v>1.3899999999999999E-2</v>
      </c>
      <c r="AN54" s="121">
        <f>AN52/100</f>
        <v>1.84E-2</v>
      </c>
      <c r="AO54" s="121">
        <f>AO52/100</f>
        <v>3.6499999999999998E-2</v>
      </c>
      <c r="AP54" s="121">
        <f>AP52/100</f>
        <v>-1.52E-2</v>
      </c>
      <c r="AQ54" s="121">
        <f>AQ52/100</f>
        <v>2.63E-2</v>
      </c>
      <c r="AR54" s="121">
        <f>AR52/100</f>
        <v>-1.3000000000000001E-2</v>
      </c>
      <c r="AS54" s="121">
        <f>AS52/100</f>
        <v>1.32E-2</v>
      </c>
      <c r="AT54" s="121">
        <f>AT52/100</f>
        <v>1.3300000000000001E-2</v>
      </c>
      <c r="AU54" s="121">
        <f>AU52/100</f>
        <v>-4.0999999999999995E-3</v>
      </c>
      <c r="AV54" s="121">
        <f>AV52/100</f>
        <v>-3.3500000000000002E-2</v>
      </c>
      <c r="AW54" s="121">
        <f>AW52/100</f>
        <v>9.5999999999999992E-3</v>
      </c>
      <c r="AX54" s="121">
        <f>AX52/100</f>
        <v>-1.06E-2</v>
      </c>
      <c r="AY54" s="121">
        <f>AY52/100</f>
        <v>6.8699999999999997E-2</v>
      </c>
      <c r="AZ54" s="121">
        <f>AZ52/100</f>
        <v>3.27E-2</v>
      </c>
      <c r="BA54" s="121">
        <f>BA52/100</f>
        <v>-4.1799999999999997E-2</v>
      </c>
      <c r="BB54" s="121">
        <f>BB52/100</f>
        <v>-1.21E-2</v>
      </c>
      <c r="BC54" s="121">
        <f>BC52/100</f>
        <v>4.0199999999999993E-2</v>
      </c>
      <c r="BD54" s="121">
        <f>BD52/100</f>
        <v>-1.3300000000000001E-2</v>
      </c>
      <c r="BF54" s="146"/>
      <c r="BG54" s="151"/>
      <c r="BH54" s="147"/>
      <c r="BI54" s="62"/>
      <c r="BJ54" s="62"/>
      <c r="BK54" s="156"/>
      <c r="BL54" s="62"/>
      <c r="BM54" s="62"/>
      <c r="BN54" s="62"/>
      <c r="BO54" s="62"/>
      <c r="BP54" s="62"/>
      <c r="BQ54" s="62"/>
      <c r="BR54" s="62"/>
      <c r="CB54" s="161"/>
      <c r="CJ54" s="161"/>
    </row>
    <row r="55" spans="1:88" s="122" customFormat="1" ht="25.5" customHeight="1">
      <c r="A55" s="123"/>
      <c r="B55" s="124" t="s">
        <v>2028</v>
      </c>
      <c r="C55" s="125">
        <f>(1*(C54+1))</f>
        <v>0.98899999999999999</v>
      </c>
      <c r="D55" s="125">
        <f>(Table9[[#This Row],[Column3]]*(D54+1))</f>
        <v>1.0118459</v>
      </c>
      <c r="E55" s="125">
        <f>(Table9[[#This Row],[Column4]]*(E54+1))</f>
        <v>1.07336613072</v>
      </c>
      <c r="F55" s="125">
        <f>(Table9[[#This Row],[Column5]]*(F54+1))</f>
        <v>1.092794057686032</v>
      </c>
      <c r="G55" s="125">
        <f>(Table9[[#This Row],[Column6]]*(G54+1))</f>
        <v>1.1161798505205132</v>
      </c>
      <c r="H55" s="125">
        <f>(Table9[[#This Row],[Column7]]*(H54+1))</f>
        <v>1.1313598964875922</v>
      </c>
      <c r="I55" s="125">
        <f>(Table9[[#This Row],[Column8]]*(I54+1))</f>
        <v>1.1536476864483978</v>
      </c>
      <c r="J55" s="125">
        <f>(Table9[[#This Row],[Column9]]*(J54+1))</f>
        <v>1.1764899106400761</v>
      </c>
      <c r="K55" s="125">
        <f>(Table9[[#This Row],[Column10]]*(K54+1))</f>
        <v>1.1363716046872494</v>
      </c>
      <c r="L55" s="125">
        <f>(Table9[[#This Row],[Column11]]*(L54+1))</f>
        <v>1.1880765127005193</v>
      </c>
      <c r="M55" s="125">
        <f>(Table9[[#This Row],[Column12]]*(M54+1))</f>
        <v>1.1567112927652257</v>
      </c>
      <c r="N55" s="125">
        <f>(Table9[[#This Row],[Column13]]*(N54+1))</f>
        <v>1.2210244406429722</v>
      </c>
      <c r="O55" s="132">
        <f>(Table9[[#This Row],[Column14]]*(O54+1))</f>
        <v>1.1714508483528676</v>
      </c>
      <c r="P55" s="125">
        <f>(Table9[[#This Row],[Column15]]*(P54+1))</f>
        <v>1.1320900998482113</v>
      </c>
      <c r="Q55" s="125">
        <f>(Table9[[#This Row],[Column16]]*(Q54+1))</f>
        <v>1.1389958494572854</v>
      </c>
      <c r="R55" s="125">
        <f>(Table9[[#This Row],[Column17]]*(R54+1))</f>
        <v>1.1253278992637978</v>
      </c>
      <c r="S55" s="125">
        <f>(Table9[[#This Row],[Column18]]*(S54+1))</f>
        <v>1.1077727840352827</v>
      </c>
      <c r="T55" s="132">
        <f>(Table9[[#This Row],[Column19]]*(T54+1))</f>
        <v>1.0174893021364071</v>
      </c>
      <c r="U55" s="125">
        <f>(Table9[[#This Row],[Column20]]*(U54+1))</f>
        <v>1.0952254848196286</v>
      </c>
      <c r="V55" s="125">
        <f>(Table9[[#This Row],[Column21]]*(V54+1))</f>
        <v>1.0372880566726703</v>
      </c>
      <c r="W55" s="125">
        <f>(Table9[[#This Row],[Column22]]*(W54+1))</f>
        <v>0.9691382313492759</v>
      </c>
      <c r="X55" s="125">
        <f>(Table9[[#This Row],[Column23]]*(X54+1))</f>
        <v>1.0300001122780105</v>
      </c>
      <c r="Y55" s="125">
        <f>(Table9[[#This Row],[Column24]]*(Y54+1))</f>
        <v>1.0995251198567761</v>
      </c>
      <c r="Z55" s="125">
        <f>(Table9[[#This Row],[Column25]]*(Z54+1))</f>
        <v>1.061701455733703</v>
      </c>
      <c r="AA55" s="132">
        <f>(Table9[[#This Row],[Column26]]*(AA54+1))</f>
        <v>1.132516942831141</v>
      </c>
      <c r="AB55" s="125">
        <f>(Table9[[#This Row],[Column27]]*(AB54+1))</f>
        <v>1.1522227376364029</v>
      </c>
      <c r="AC55" s="125">
        <f>(Table9[[#This Row],[Column28]]*(AC54+1))</f>
        <v>1.1440419561991844</v>
      </c>
      <c r="AD55" s="125">
        <f>(Table9[[#This Row],[Column29]]*(AD54+1))</f>
        <v>1.1660075617582089</v>
      </c>
      <c r="AE55" s="125">
        <f>(Table9[[#This Row],[Column30]]*(AE54+1))</f>
        <v>1.128811920538122</v>
      </c>
      <c r="AF55" s="132">
        <f>(Table9[[#This Row],[Column31]]*(AF54+1))</f>
        <v>1.1542101887502296</v>
      </c>
      <c r="AG55" s="125">
        <f>(Table9[[#This Row],[Column32]]*(AG54+1))</f>
        <v>1.1777560766007342</v>
      </c>
      <c r="AH55" s="125">
        <f>(Table9[[#This Row],[Column33]]*(AH54+1))</f>
        <v>1.1448966820635738</v>
      </c>
      <c r="AI55" s="125">
        <f>(Table9[[#This Row],[Column34]]*(AI54+1))</f>
        <v>1.1249754797956677</v>
      </c>
      <c r="AJ55" s="125">
        <f>(Table9[[#This Row],[Column35]]*(AJ54+1))</f>
        <v>1.0835763821391873</v>
      </c>
      <c r="AK55" s="125">
        <f>(Table9[[#This Row],[Column36]]*(AK54+1))</f>
        <v>1.1534670587871649</v>
      </c>
      <c r="AL55" s="125">
        <f>(Table9[[#This Row],[Column37]]*(AL54+1))</f>
        <v>1.1969527669034412</v>
      </c>
      <c r="AM55" s="125">
        <f>(Table9[[#This Row],[Column38]]*(AM54+1))</f>
        <v>1.213590410363399</v>
      </c>
      <c r="AN55" s="125">
        <f>(Table9[[#This Row],[Column39]]*(AN54+1))</f>
        <v>1.2359204739140854</v>
      </c>
      <c r="AO55" s="125">
        <f>(Table9[[#This Row],[Column40]]*(AO54+1))</f>
        <v>1.2810315712119495</v>
      </c>
      <c r="AP55" s="125">
        <f>(Table9[[#This Row],[Column41]]*(AP54+1))</f>
        <v>1.2615598913295278</v>
      </c>
      <c r="AQ55" s="125">
        <f>(Table9[[#This Row],[Column42]]*(AQ54+1))</f>
        <v>1.2947389164714944</v>
      </c>
      <c r="AR55" s="125">
        <f>(Table9[[#This Row],[Column43]]*(AR54+1))</f>
        <v>1.2779073105573651</v>
      </c>
      <c r="AS55" s="125">
        <f>(Table9[[#This Row],[Column44]]*(AS54+1))</f>
        <v>1.2947756870567224</v>
      </c>
      <c r="AT55" s="125">
        <f>(Table9[[#This Row],[Column45]]*(AT54+1))</f>
        <v>1.3119962036945769</v>
      </c>
      <c r="AU55" s="125">
        <f>(Table9[[#This Row],[Column46]]*(AU54+1))</f>
        <v>1.3066170192594291</v>
      </c>
      <c r="AV55" s="125">
        <f>(Table9[[#This Row],[Column47]]*(AV54+1))</f>
        <v>1.2628453491142382</v>
      </c>
      <c r="AW55" s="125">
        <f>(Table9[[#This Row],[Column48]]*(AW54+1))</f>
        <v>1.274968664465735</v>
      </c>
      <c r="AX55" s="125">
        <f>(Table9[[#This Row],[Column49]]*(AX54+1))</f>
        <v>1.2614539966223981</v>
      </c>
      <c r="AY55" s="125">
        <f>(Table9[[#This Row],[Column50]]*(AY54+1))</f>
        <v>1.3481158861903568</v>
      </c>
      <c r="AZ55" s="125">
        <f>(Table9[[#This Row],[Column51]]*(AZ54+1))</f>
        <v>1.3921992756687813</v>
      </c>
      <c r="BA55" s="125">
        <f>(Table9[[#This Row],[Column52]]*(BA54+1))</f>
        <v>1.3340053459458263</v>
      </c>
      <c r="BB55" s="125">
        <f>(Table9[[#This Row],[Column53]]*(BB54+1))</f>
        <v>1.3178638812598817</v>
      </c>
      <c r="BC55" s="125">
        <f>(Table9[[#This Row],[Column54]]*(BC54+1))</f>
        <v>1.370842009286529</v>
      </c>
      <c r="BD55" s="121">
        <f>(Table9[[#This Row],[Column55]]*(BD54+1))</f>
        <v>1.3526098105630182</v>
      </c>
      <c r="BF55" s="145"/>
      <c r="BG55" s="142"/>
      <c r="BH55" s="62"/>
      <c r="BI55" s="62"/>
      <c r="BJ55" s="62"/>
      <c r="BK55" s="156"/>
      <c r="BL55" s="62"/>
      <c r="BM55" s="62"/>
      <c r="BN55" s="62"/>
      <c r="BO55" s="62"/>
      <c r="BP55" s="62"/>
      <c r="BQ55" s="62"/>
      <c r="BR55" s="62"/>
      <c r="CB55" s="161"/>
      <c r="CJ55" s="161"/>
    </row>
    <row r="56" spans="1:88" hidden="1">
      <c r="BF56" s="62"/>
      <c r="BH56" s="62"/>
      <c r="BI56" s="62"/>
      <c r="BJ56" s="62"/>
      <c r="BK56" s="156"/>
    </row>
    <row r="57" spans="1:88" s="136" customFormat="1">
      <c r="A57" s="137"/>
      <c r="B57" s="133" t="s">
        <v>26</v>
      </c>
      <c r="C57" s="134">
        <f>C50-C54</f>
        <v>-1.3850035985704667E-4</v>
      </c>
      <c r="D57" s="134">
        <f t="shared" ref="D57:BD57" si="0">D50-D54</f>
        <v>1.7566454245117543E-2</v>
      </c>
      <c r="E57" s="134">
        <f t="shared" si="0"/>
        <v>6.9534871039573024E-3</v>
      </c>
      <c r="F57" s="134">
        <f t="shared" si="0"/>
        <v>-1.0364851794794037E-3</v>
      </c>
      <c r="G57" s="134">
        <f t="shared" si="0"/>
        <v>9.7304455347599211E-3</v>
      </c>
      <c r="H57" s="134">
        <f t="shared" si="0"/>
        <v>2.0267076668148004E-3</v>
      </c>
      <c r="I57" s="134">
        <f t="shared" si="0"/>
        <v>-6.6828163158997294E-3</v>
      </c>
      <c r="J57" s="134">
        <f t="shared" si="0"/>
        <v>6.5277842080468038E-3</v>
      </c>
      <c r="K57" s="134">
        <f t="shared" si="0"/>
        <v>1.108401615135331E-2</v>
      </c>
      <c r="L57" s="134">
        <f t="shared" si="0"/>
        <v>-2.7956885670731013E-4</v>
      </c>
      <c r="M57" s="134">
        <f t="shared" si="0"/>
        <v>-1.2672635336053867E-2</v>
      </c>
      <c r="N57" s="134">
        <f t="shared" si="0"/>
        <v>5.4420746752551347E-3</v>
      </c>
      <c r="O57" s="135">
        <f t="shared" si="0"/>
        <v>3.2062918746330993E-2</v>
      </c>
      <c r="P57" s="134">
        <f t="shared" si="0"/>
        <v>-2.0436659762711473E-3</v>
      </c>
      <c r="Q57" s="134">
        <f t="shared" si="0"/>
        <v>9.1350911705901268E-3</v>
      </c>
      <c r="R57" s="134">
        <f t="shared" si="0"/>
        <v>2.0558469108922728E-2</v>
      </c>
      <c r="S57" s="134">
        <f t="shared" si="0"/>
        <v>4.6693279701619465E-3</v>
      </c>
      <c r="T57" s="135">
        <f t="shared" si="0"/>
        <v>2.3704354897672308E-3</v>
      </c>
      <c r="U57" s="134">
        <f t="shared" si="0"/>
        <v>-1.4907271835345286E-2</v>
      </c>
      <c r="V57" s="134">
        <f t="shared" si="0"/>
        <v>1.8493130577737493E-3</v>
      </c>
      <c r="W57" s="134">
        <f t="shared" si="0"/>
        <v>1.3467462908715103E-2</v>
      </c>
      <c r="X57" s="134">
        <f t="shared" si="0"/>
        <v>1.1509711067956258E-2</v>
      </c>
      <c r="Y57" s="134">
        <f t="shared" si="0"/>
        <v>1.0012420057549445E-2</v>
      </c>
      <c r="Z57" s="134">
        <f t="shared" si="0"/>
        <v>7.0596772583537276E-4</v>
      </c>
      <c r="AA57" s="135">
        <f t="shared" si="0"/>
        <v>2.384157066517148E-2</v>
      </c>
      <c r="AB57" s="134">
        <f t="shared" si="0"/>
        <v>3.5330903926766855E-4</v>
      </c>
      <c r="AC57" s="134">
        <f t="shared" si="0"/>
        <v>1.1259259926088273E-2</v>
      </c>
      <c r="AD57" s="134">
        <f t="shared" si="0"/>
        <v>8.4477612390816866E-3</v>
      </c>
      <c r="AE57" s="134">
        <f t="shared" si="0"/>
        <v>1.9954113772593575E-2</v>
      </c>
      <c r="AF57" s="135">
        <f t="shared" si="0"/>
        <v>9.1095846922927409E-3</v>
      </c>
      <c r="AG57" s="134">
        <f t="shared" si="0"/>
        <v>3.2257243651185111E-4</v>
      </c>
      <c r="AH57" s="134">
        <f t="shared" si="0"/>
        <v>8.9076112730841171E-3</v>
      </c>
      <c r="AI57" s="134">
        <f t="shared" si="0"/>
        <v>2.6607729102148953E-3</v>
      </c>
      <c r="AJ57" s="134">
        <f t="shared" si="0"/>
        <v>-2.1913610391132432E-3</v>
      </c>
      <c r="AK57" s="134">
        <f t="shared" si="0"/>
        <v>2.3307537749343202E-2</v>
      </c>
      <c r="AL57" s="134">
        <f t="shared" si="0"/>
        <v>6.0672734882201776E-3</v>
      </c>
      <c r="AM57" s="135">
        <f t="shared" si="0"/>
        <v>3.2816834972431395E-3</v>
      </c>
      <c r="AN57" s="134">
        <f t="shared" si="0"/>
        <v>1.6188418062677769E-2</v>
      </c>
      <c r="AO57" s="134">
        <f t="shared" si="0"/>
        <v>1.8635343836078233E-2</v>
      </c>
      <c r="AP57" s="134">
        <f t="shared" si="0"/>
        <v>1.3005137365197931E-2</v>
      </c>
      <c r="AQ57" s="134">
        <f t="shared" si="0"/>
        <v>1.8778505324244261E-2</v>
      </c>
      <c r="AR57" s="135">
        <f t="shared" si="0"/>
        <v>1.3871191119338051E-3</v>
      </c>
      <c r="AS57" s="134">
        <f t="shared" si="0"/>
        <v>1.4800604210409799E-2</v>
      </c>
      <c r="AT57" s="134">
        <f t="shared" si="0"/>
        <v>1.3818727158425871E-2</v>
      </c>
      <c r="AU57" s="134">
        <f t="shared" si="0"/>
        <v>3.9909987521280542E-3</v>
      </c>
      <c r="AV57" s="134">
        <f t="shared" si="0"/>
        <v>1.1214685269561639E-2</v>
      </c>
      <c r="AW57" s="134">
        <f t="shared" si="0"/>
        <v>8.6029940742880454E-3</v>
      </c>
      <c r="AX57" s="134">
        <f t="shared" si="0"/>
        <v>1.3069627704843611E-2</v>
      </c>
      <c r="AY57" s="135">
        <f t="shared" si="0"/>
        <v>7.5824426764249109E-3</v>
      </c>
      <c r="AZ57" s="134">
        <f t="shared" si="0"/>
        <v>1.7452418035752273E-2</v>
      </c>
      <c r="BA57" s="134">
        <f t="shared" si="0"/>
        <v>1.9306596030467804E-2</v>
      </c>
      <c r="BB57" s="134">
        <f t="shared" si="0"/>
        <v>1.9735285522958904E-2</v>
      </c>
      <c r="BC57" s="134">
        <f t="shared" si="0"/>
        <v>6.5547525884588481E-3</v>
      </c>
      <c r="BD57" s="154">
        <f t="shared" si="0"/>
        <v>-1.379654739130432E-2</v>
      </c>
      <c r="BF57" s="62"/>
      <c r="BG57" s="62"/>
      <c r="BH57" s="62"/>
      <c r="BI57" s="62"/>
      <c r="BJ57" s="62"/>
      <c r="BK57" s="156"/>
      <c r="BL57" s="62"/>
      <c r="BM57" s="62"/>
      <c r="BN57" s="62"/>
      <c r="BO57" s="62"/>
      <c r="BP57" s="62"/>
      <c r="BQ57" s="62"/>
      <c r="BR57" s="62"/>
      <c r="CB57" s="162"/>
      <c r="CJ57" s="162"/>
    </row>
    <row r="58" spans="1:88">
      <c r="BF58" s="62"/>
      <c r="BH58" s="62"/>
      <c r="BI58" s="62"/>
      <c r="BJ58" s="62"/>
      <c r="BK58" s="156"/>
    </row>
    <row r="59" spans="1:88">
      <c r="BF59" s="62"/>
      <c r="BH59" s="62"/>
      <c r="BI59" s="62"/>
      <c r="BJ59" s="62"/>
      <c r="BK59" s="156"/>
    </row>
    <row r="67" spans="8:8">
      <c r="H67" s="107"/>
    </row>
    <row r="68" spans="8:8">
      <c r="H68" s="107"/>
    </row>
    <row r="69" spans="8:8">
      <c r="H69" s="107"/>
    </row>
    <row r="70" spans="8:8">
      <c r="H70" s="107"/>
    </row>
    <row r="71" spans="8:8">
      <c r="H71" s="107"/>
    </row>
    <row r="72" spans="8:8">
      <c r="H72" s="107"/>
    </row>
    <row r="73" spans="8:8">
      <c r="H73" s="107"/>
    </row>
    <row r="74" spans="8:8">
      <c r="H74" s="107"/>
    </row>
    <row r="75" spans="8:8">
      <c r="H75" s="107"/>
    </row>
    <row r="76" spans="8:8">
      <c r="H76" s="107"/>
    </row>
    <row r="77" spans="8:8">
      <c r="H77" s="107"/>
    </row>
    <row r="78" spans="8:8">
      <c r="H78" s="107"/>
    </row>
    <row r="79" spans="8:8">
      <c r="H79" s="107"/>
    </row>
    <row r="80" spans="8:8">
      <c r="H80" s="107"/>
    </row>
    <row r="81" spans="8:8">
      <c r="H81" s="107"/>
    </row>
    <row r="82" spans="8:8">
      <c r="H82" s="107"/>
    </row>
    <row r="83" spans="8:8">
      <c r="H83" s="107"/>
    </row>
    <row r="84" spans="8:8">
      <c r="H84" s="107"/>
    </row>
    <row r="85" spans="8:8">
      <c r="H85" s="107"/>
    </row>
    <row r="86" spans="8:8">
      <c r="H86" s="107"/>
    </row>
    <row r="87" spans="8:8">
      <c r="H87" s="107"/>
    </row>
    <row r="88" spans="8:8">
      <c r="H88" s="107"/>
    </row>
    <row r="89" spans="8:8">
      <c r="H89" s="107"/>
    </row>
    <row r="90" spans="8:8">
      <c r="H90" s="107"/>
    </row>
    <row r="91" spans="8:8">
      <c r="H91" s="107"/>
    </row>
    <row r="92" spans="8:8">
      <c r="H92" s="107"/>
    </row>
    <row r="93" spans="8:8">
      <c r="H93" s="107"/>
    </row>
    <row r="94" spans="8:8">
      <c r="H94" s="107"/>
    </row>
    <row r="95" spans="8:8">
      <c r="H95" s="107"/>
    </row>
    <row r="96" spans="8:8">
      <c r="H96" s="107"/>
    </row>
    <row r="97" spans="8:8">
      <c r="H97" s="107"/>
    </row>
    <row r="98" spans="8:8">
      <c r="H98" s="107"/>
    </row>
    <row r="99" spans="8:8">
      <c r="H99" s="107"/>
    </row>
    <row r="100" spans="8:8">
      <c r="H100" s="107"/>
    </row>
    <row r="101" spans="8:8">
      <c r="H101" s="107"/>
    </row>
    <row r="102" spans="8:8">
      <c r="H102" s="107"/>
    </row>
    <row r="103" spans="8:8">
      <c r="H103" s="107"/>
    </row>
    <row r="104" spans="8:8">
      <c r="H104" s="107"/>
    </row>
    <row r="105" spans="8:8">
      <c r="H105" s="107"/>
    </row>
    <row r="106" spans="8:8">
      <c r="H106" s="107"/>
    </row>
    <row r="107" spans="8:8">
      <c r="H107" s="107"/>
    </row>
    <row r="108" spans="8:8">
      <c r="H108" s="107"/>
    </row>
    <row r="109" spans="8:8">
      <c r="H109" s="107"/>
    </row>
    <row r="110" spans="8:8">
      <c r="H110" s="107"/>
    </row>
    <row r="111" spans="8:8">
      <c r="H111" s="107"/>
    </row>
    <row r="112" spans="8:8">
      <c r="H112" s="107"/>
    </row>
    <row r="113" spans="8:8">
      <c r="H113" s="107"/>
    </row>
  </sheetData>
  <autoFilter ref="BM3:BN3" xr:uid="{DB3D469C-B394-447C-B83C-B03DC99F367F}">
    <sortState xmlns:xlrd2="http://schemas.microsoft.com/office/spreadsheetml/2017/richdata2" ref="BM4:BN51">
      <sortCondition ref="BN3"/>
    </sortState>
  </autoFilter>
  <mergeCells count="2">
    <mergeCell ref="CE12:CF12"/>
    <mergeCell ref="CE13:CF13"/>
  </mergeCells>
  <pageMargins left="0.7" right="0.7" top="0.75" bottom="0.75" header="0.3" footer="0.3"/>
  <drawing r:id="rId1"/>
  <tableParts count="2">
    <tablePart r:id="rId2"/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9FE81-B724-433E-8A4A-4DFDE74D888F}">
  <sheetPr>
    <tabColor theme="8" tint="-0.249977111117893"/>
  </sheetPr>
  <dimension ref="A1:BC9"/>
  <sheetViews>
    <sheetView workbookViewId="0">
      <pane xSplit="1" topLeftCell="B1" activePane="topRight" state="frozen"/>
      <selection pane="topRight" activeCell="B16" sqref="B16"/>
    </sheetView>
  </sheetViews>
  <sheetFormatPr defaultRowHeight="15"/>
  <cols>
    <col min="1" max="1" width="20" style="24" customWidth="1"/>
    <col min="2" max="2" width="25.28515625" style="24" bestFit="1" customWidth="1"/>
    <col min="3" max="9" width="9.140625" style="24"/>
    <col min="10" max="10" width="9.42578125" style="24" bestFit="1" customWidth="1"/>
    <col min="11" max="11" width="9.140625" style="24"/>
    <col min="12" max="12" width="9.42578125" style="24" bestFit="1" customWidth="1"/>
    <col min="13" max="13" width="11.5703125" style="24" customWidth="1"/>
    <col min="14" max="15" width="9.42578125" style="24" bestFit="1" customWidth="1"/>
    <col min="16" max="16" width="9.140625" style="24"/>
    <col min="17" max="19" width="9.42578125" style="24" bestFit="1" customWidth="1"/>
    <col min="20" max="20" width="9.140625" style="24"/>
    <col min="21" max="22" width="9.42578125" style="24" bestFit="1" customWidth="1"/>
    <col min="23" max="24" width="9.140625" style="24"/>
    <col min="25" max="25" width="9.42578125" style="24" bestFit="1" customWidth="1"/>
    <col min="26" max="29" width="9.140625" style="24"/>
    <col min="30" max="30" width="9.42578125" style="24" bestFit="1" customWidth="1"/>
    <col min="31" max="32" width="9.140625" style="24"/>
    <col min="33" max="35" width="9.42578125" style="24" bestFit="1" customWidth="1"/>
    <col min="36" max="40" width="9.140625" style="24"/>
    <col min="41" max="41" width="9.42578125" style="24" bestFit="1" customWidth="1"/>
    <col min="42" max="42" width="9.140625" style="24"/>
    <col min="43" max="43" width="9.42578125" style="24" bestFit="1" customWidth="1"/>
    <col min="44" max="46" width="9.140625" style="24"/>
    <col min="47" max="47" width="9.42578125" style="24" bestFit="1" customWidth="1"/>
    <col min="48" max="48" width="9.140625" style="24"/>
    <col min="49" max="49" width="9.42578125" style="24" bestFit="1" customWidth="1"/>
    <col min="50" max="51" width="9.140625" style="24"/>
    <col min="52" max="53" width="9.42578125" style="24" bestFit="1" customWidth="1"/>
    <col min="54" max="54" width="9.140625" style="24"/>
    <col min="55" max="55" width="9.42578125" style="24" bestFit="1" customWidth="1"/>
    <col min="56" max="16384" width="9.140625" style="24"/>
  </cols>
  <sheetData>
    <row r="1" spans="1:55">
      <c r="A1" s="27" t="s">
        <v>2005</v>
      </c>
      <c r="B1" s="175">
        <v>44197</v>
      </c>
      <c r="C1" s="175">
        <v>44228</v>
      </c>
      <c r="D1" s="175">
        <v>44256</v>
      </c>
      <c r="E1" s="175">
        <v>44287</v>
      </c>
      <c r="F1" s="175">
        <v>44317</v>
      </c>
      <c r="G1" s="175">
        <v>44348</v>
      </c>
      <c r="H1" s="175">
        <v>44378</v>
      </c>
      <c r="I1" s="175">
        <v>44409</v>
      </c>
      <c r="J1" s="175">
        <v>44440</v>
      </c>
      <c r="K1" s="175">
        <v>44470</v>
      </c>
      <c r="L1" s="175">
        <v>44501</v>
      </c>
      <c r="M1" s="175">
        <v>44531</v>
      </c>
      <c r="N1" s="175">
        <v>44562</v>
      </c>
      <c r="O1" s="175">
        <v>44593</v>
      </c>
      <c r="P1" s="175">
        <v>44621</v>
      </c>
      <c r="Q1" s="175">
        <v>44652</v>
      </c>
      <c r="R1" s="175">
        <v>44682</v>
      </c>
      <c r="S1" s="175">
        <v>44713</v>
      </c>
      <c r="T1" s="175">
        <v>44743</v>
      </c>
      <c r="U1" s="175">
        <v>44774</v>
      </c>
      <c r="V1" s="175">
        <v>44805</v>
      </c>
      <c r="W1" s="175">
        <v>44835</v>
      </c>
      <c r="X1" s="175">
        <v>44866</v>
      </c>
      <c r="Y1" s="175">
        <v>44896</v>
      </c>
      <c r="Z1" s="176">
        <v>44927</v>
      </c>
      <c r="AA1" s="176">
        <v>44958</v>
      </c>
      <c r="AB1" s="176">
        <v>44986</v>
      </c>
      <c r="AC1" s="176">
        <v>45017</v>
      </c>
      <c r="AD1" s="176">
        <v>45047</v>
      </c>
      <c r="AE1" s="176">
        <v>45078</v>
      </c>
      <c r="AF1" s="176">
        <v>45108</v>
      </c>
      <c r="AG1" s="176">
        <v>45139</v>
      </c>
      <c r="AH1" s="176">
        <v>45170</v>
      </c>
      <c r="AI1" s="176">
        <v>45200</v>
      </c>
      <c r="AJ1" s="176">
        <v>45231</v>
      </c>
      <c r="AK1" s="176">
        <v>45261</v>
      </c>
      <c r="AL1" s="176">
        <v>45292</v>
      </c>
      <c r="AM1" s="176">
        <v>45323</v>
      </c>
      <c r="AN1" s="176">
        <v>45352</v>
      </c>
      <c r="AO1" s="176">
        <v>45383</v>
      </c>
      <c r="AP1" s="176">
        <v>45413</v>
      </c>
      <c r="AQ1" s="176">
        <v>45444</v>
      </c>
      <c r="AR1" s="176">
        <v>45474</v>
      </c>
      <c r="AS1" s="176">
        <v>45505</v>
      </c>
      <c r="AT1" s="176">
        <v>45536</v>
      </c>
      <c r="AU1" s="176">
        <v>45566</v>
      </c>
      <c r="AV1" s="176">
        <v>45597</v>
      </c>
      <c r="AW1" s="176">
        <v>45627</v>
      </c>
      <c r="AX1" s="176">
        <v>45658</v>
      </c>
      <c r="AY1" s="176">
        <v>45689</v>
      </c>
      <c r="AZ1" s="176">
        <v>45717</v>
      </c>
      <c r="BA1" s="176">
        <v>45748</v>
      </c>
      <c r="BB1" s="176">
        <v>45778</v>
      </c>
      <c r="BC1" s="176">
        <v>45809</v>
      </c>
    </row>
    <row r="2" spans="1:55" s="173" customFormat="1">
      <c r="A2" s="173" t="s">
        <v>2011</v>
      </c>
      <c r="B2" s="173">
        <v>0.98886149964014292</v>
      </c>
      <c r="C2" s="173">
        <v>1.0290749905700172</v>
      </c>
      <c r="D2" s="173">
        <v>1.0987984096726078</v>
      </c>
      <c r="E2" s="173">
        <v>1.1175477726208209</v>
      </c>
      <c r="F2" s="173">
        <v>1.1523375326888856</v>
      </c>
      <c r="G2" s="173">
        <v>1.1703447744457136</v>
      </c>
      <c r="H2" s="173">
        <v>1.1855793673484003</v>
      </c>
      <c r="I2" s="173">
        <v>1.2167930450934614</v>
      </c>
      <c r="J2" s="173">
        <v>1.1887873560204447</v>
      </c>
      <c r="K2" s="173">
        <v>1.2425448327973843</v>
      </c>
      <c r="L2" s="173">
        <v>1.1939953316567939</v>
      </c>
      <c r="M2" s="173">
        <v>1.266879283853694</v>
      </c>
      <c r="N2" s="173">
        <v>1.2560638324688449</v>
      </c>
      <c r="O2" s="173">
        <v>1.2112931127794504</v>
      </c>
      <c r="P2" s="173">
        <v>1.2297472737869533</v>
      </c>
      <c r="Q2" s="173">
        <v>1.2402720278414407</v>
      </c>
      <c r="R2" s="173">
        <v>1.2267150210773237</v>
      </c>
      <c r="S2" s="173">
        <v>1.1296455956813141</v>
      </c>
      <c r="T2" s="173">
        <v>1.1991105852189445</v>
      </c>
      <c r="U2" s="173">
        <v>1.1378951661238226</v>
      </c>
      <c r="V2" s="173">
        <v>1.0784600146532661</v>
      </c>
      <c r="W2" s="173">
        <v>1.1586000667404941</v>
      </c>
      <c r="X2" s="173">
        <v>1.2484059617923882</v>
      </c>
      <c r="Y2" s="173">
        <v>1.2063421310244959</v>
      </c>
      <c r="Z2" s="173">
        <v>1.315566242327024</v>
      </c>
      <c r="AA2" s="173">
        <v>1.3389218963886838</v>
      </c>
      <c r="AB2" s="173">
        <v>1.3444908205764952</v>
      </c>
      <c r="AC2" s="173">
        <v>1.3816629817719313</v>
      </c>
      <c r="AD2" s="173">
        <v>1.3651577929870646</v>
      </c>
      <c r="AE2" s="173">
        <v>1.4083098638628329</v>
      </c>
      <c r="AF2" s="173">
        <v>1.4374936670297846</v>
      </c>
      <c r="AG2" s="173">
        <v>1.4101922285130752</v>
      </c>
      <c r="AH2" s="173">
        <v>1.3894070850167708</v>
      </c>
      <c r="AI2" s="173">
        <v>1.3352322117345798</v>
      </c>
      <c r="AJ2" s="173">
        <v>1.452475664570603</v>
      </c>
      <c r="AK2" s="173">
        <v>1.5160465642168488</v>
      </c>
      <c r="AL2" s="173">
        <v>1.5420947964503056</v>
      </c>
      <c r="AM2" s="173">
        <v>1.5954334159622088</v>
      </c>
      <c r="AN2" s="173">
        <v>1.683398185918854</v>
      </c>
      <c r="AO2" s="173">
        <v>1.6797033581410872</v>
      </c>
      <c r="AP2" s="173">
        <v>1.755421874914201</v>
      </c>
      <c r="AQ2" s="173">
        <v>1.7350363697725164</v>
      </c>
      <c r="AR2" s="173">
        <v>1.7836184364531826</v>
      </c>
      <c r="AS2" s="173">
        <v>1.8319878981860946</v>
      </c>
      <c r="AT2" s="173">
        <v>1.831788209219106</v>
      </c>
      <c r="AU2" s="173">
        <v>1.790966232457152</v>
      </c>
      <c r="AV2" s="173">
        <v>1.8235671801738196</v>
      </c>
      <c r="AW2" s="173">
        <v>1.8280707122036206</v>
      </c>
      <c r="AX2" s="173">
        <v>1.9675204115157443</v>
      </c>
      <c r="AY2" s="173">
        <v>2.066196317687957</v>
      </c>
      <c r="AZ2" s="173">
        <v>2.019720529233842</v>
      </c>
      <c r="BA2" s="173">
        <v>2.035141672151124</v>
      </c>
      <c r="BB2" s="173">
        <v>2.1302942175150124</v>
      </c>
      <c r="BC2" s="173">
        <v>2.0725705992926953</v>
      </c>
    </row>
    <row r="3" spans="1:55" s="174" customFormat="1">
      <c r="A3" s="174" t="s">
        <v>2052</v>
      </c>
      <c r="B3" s="174">
        <v>0.98899999999999999</v>
      </c>
      <c r="C3" s="174">
        <v>1.0118459</v>
      </c>
      <c r="D3" s="174">
        <v>1.07336613072</v>
      </c>
      <c r="E3" s="174">
        <v>1.092794057686032</v>
      </c>
      <c r="F3" s="174">
        <v>1.1161798505205132</v>
      </c>
      <c r="G3" s="174">
        <v>1.1313598964875922</v>
      </c>
      <c r="H3" s="174">
        <v>1.1536476864483978</v>
      </c>
      <c r="I3" s="174">
        <v>1.1764899106400761</v>
      </c>
      <c r="J3" s="174">
        <v>1.1363716046872494</v>
      </c>
      <c r="K3" s="174">
        <v>1.1880765127005193</v>
      </c>
      <c r="L3" s="174">
        <v>1.1567112927652257</v>
      </c>
      <c r="M3" s="174">
        <v>1.2210244406429722</v>
      </c>
      <c r="N3" s="174">
        <v>1.1714508483528676</v>
      </c>
      <c r="O3" s="174">
        <v>1.1320900998482113</v>
      </c>
      <c r="P3" s="174">
        <v>1.1389958494572854</v>
      </c>
      <c r="Q3" s="174">
        <v>1.1253278992637978</v>
      </c>
      <c r="R3" s="174">
        <v>1.1077727840352827</v>
      </c>
      <c r="S3" s="174">
        <v>1.0174893021364071</v>
      </c>
      <c r="T3" s="174">
        <v>1.0952254848196286</v>
      </c>
      <c r="U3" s="174">
        <v>1.0372880566726703</v>
      </c>
      <c r="V3" s="174">
        <v>0.9691382313492759</v>
      </c>
      <c r="W3" s="174">
        <v>1.0300001122780105</v>
      </c>
      <c r="X3" s="174">
        <v>1.0995251198567761</v>
      </c>
      <c r="Y3" s="174">
        <v>1.061701455733703</v>
      </c>
      <c r="Z3" s="174">
        <v>1.132516942831141</v>
      </c>
      <c r="AA3" s="174">
        <v>1.1522227376364029</v>
      </c>
      <c r="AB3" s="174">
        <v>1.1440419561991844</v>
      </c>
      <c r="AC3" s="174">
        <v>1.1660075617582089</v>
      </c>
      <c r="AD3" s="174">
        <v>1.128811920538122</v>
      </c>
      <c r="AE3" s="174">
        <v>1.1542101887502296</v>
      </c>
      <c r="AF3" s="174">
        <v>1.1777560766007342</v>
      </c>
      <c r="AG3" s="174">
        <v>1.1448966820635738</v>
      </c>
      <c r="AH3" s="174">
        <v>1.1249754797956677</v>
      </c>
      <c r="AI3" s="174">
        <v>1.0835763821391873</v>
      </c>
      <c r="AJ3" s="174">
        <v>1.1534670587871649</v>
      </c>
      <c r="AK3" s="174">
        <v>1.1969527669034412</v>
      </c>
      <c r="AL3" s="174">
        <v>1.213590410363399</v>
      </c>
      <c r="AM3" s="174">
        <v>1.2359204739140854</v>
      </c>
      <c r="AN3" s="174">
        <v>1.2810315712119495</v>
      </c>
      <c r="AO3" s="174">
        <v>1.2615598913295278</v>
      </c>
      <c r="AP3" s="174">
        <v>1.2947389164714944</v>
      </c>
      <c r="AQ3" s="174">
        <v>1.2779073105573651</v>
      </c>
      <c r="AR3" s="174">
        <v>1.2947756870567224</v>
      </c>
      <c r="AS3" s="174">
        <v>1.3119962036945769</v>
      </c>
      <c r="AT3" s="174">
        <v>1.3066170192594291</v>
      </c>
      <c r="AU3" s="174">
        <v>1.2628453491142382</v>
      </c>
      <c r="AV3" s="174">
        <v>1.274968664465735</v>
      </c>
      <c r="AW3" s="174">
        <v>1.2614539966223981</v>
      </c>
      <c r="AX3" s="174">
        <v>1.3481158861903568</v>
      </c>
      <c r="AY3" s="174">
        <v>1.3921992756687813</v>
      </c>
      <c r="AZ3" s="174">
        <v>1.3340053459458263</v>
      </c>
      <c r="BA3" s="174">
        <v>1.3178638812598817</v>
      </c>
      <c r="BB3" s="174">
        <v>1.370842009286529</v>
      </c>
      <c r="BC3" s="174">
        <v>1.3526098105630182</v>
      </c>
    </row>
    <row r="4" spans="1:55" s="57" customFormat="1" ht="14.25" customHeight="1">
      <c r="A4" s="60" t="s">
        <v>2053</v>
      </c>
      <c r="G4" s="57">
        <v>1</v>
      </c>
      <c r="N4" s="57">
        <v>1</v>
      </c>
      <c r="S4" s="57">
        <v>1</v>
      </c>
      <c r="Z4" s="57">
        <v>1</v>
      </c>
      <c r="AE4" s="57">
        <v>1</v>
      </c>
      <c r="AL4" s="57">
        <v>1</v>
      </c>
      <c r="AQ4" s="57">
        <v>1</v>
      </c>
      <c r="AX4" s="57">
        <v>1</v>
      </c>
      <c r="BC4" s="57">
        <v>1</v>
      </c>
    </row>
    <row r="6" spans="1:55">
      <c r="A6" s="27" t="s">
        <v>2054</v>
      </c>
    </row>
    <row r="7" spans="1:55">
      <c r="A7" s="173" t="s">
        <v>2055</v>
      </c>
      <c r="B7" s="173">
        <v>-1.1138500359857048E-2</v>
      </c>
      <c r="C7" s="173">
        <v>4.0666454245117542E-2</v>
      </c>
      <c r="D7" s="173">
        <v>6.7753487103957302E-2</v>
      </c>
      <c r="E7" s="173">
        <v>1.7063514820520598E-2</v>
      </c>
      <c r="F7" s="173">
        <v>3.1130445534759923E-2</v>
      </c>
      <c r="G7" s="173">
        <v>1.5626707666814801E-2</v>
      </c>
      <c r="H7" s="173">
        <v>1.3017183684100269E-2</v>
      </c>
      <c r="I7" s="173">
        <v>2.6327784208046802E-2</v>
      </c>
      <c r="J7" s="173">
        <v>-2.3015983848646688E-2</v>
      </c>
      <c r="K7" s="173">
        <v>4.5220431143292689E-2</v>
      </c>
      <c r="L7" s="173">
        <v>-3.9072635336053867E-2</v>
      </c>
      <c r="M7" s="173">
        <v>6.1042074675255131E-2</v>
      </c>
      <c r="N7" s="173">
        <v>-8.5370812536690027E-3</v>
      </c>
      <c r="O7" s="173">
        <v>-3.5643665976271145E-2</v>
      </c>
      <c r="P7" s="173">
        <v>1.5235091170590126E-2</v>
      </c>
      <c r="Q7" s="173">
        <v>8.5584691089227276E-3</v>
      </c>
      <c r="R7" s="173">
        <v>-1.0930672029838055E-2</v>
      </c>
      <c r="S7" s="173">
        <v>-7.9129564510232772E-2</v>
      </c>
      <c r="T7" s="173">
        <v>6.149272816465471E-2</v>
      </c>
      <c r="U7" s="173">
        <v>-5.1050686942226253E-2</v>
      </c>
      <c r="V7" s="173">
        <v>-5.2232537091284906E-2</v>
      </c>
      <c r="W7" s="173">
        <v>7.4309711067956266E-2</v>
      </c>
      <c r="X7" s="173">
        <v>7.751242005754945E-2</v>
      </c>
      <c r="Y7" s="173">
        <v>-3.3694032274164627E-2</v>
      </c>
      <c r="Z7" s="173">
        <v>9.0541570665171475E-2</v>
      </c>
      <c r="AA7" s="173">
        <v>1.7753309039267667E-2</v>
      </c>
      <c r="AB7" s="173">
        <v>4.159259926088274E-3</v>
      </c>
      <c r="AC7" s="173">
        <v>2.7647761239081685E-2</v>
      </c>
      <c r="AD7" s="173">
        <v>-1.1945886227406423E-2</v>
      </c>
      <c r="AE7" s="173">
        <v>3.160958469229274E-2</v>
      </c>
      <c r="AF7" s="173">
        <v>2.0722572436511853E-2</v>
      </c>
      <c r="AG7" s="173">
        <v>-1.8992388726915884E-2</v>
      </c>
      <c r="AH7" s="173">
        <v>-1.4739227089785104E-2</v>
      </c>
      <c r="AI7" s="173">
        <v>-3.8991361039113243E-2</v>
      </c>
      <c r="AJ7" s="173">
        <v>8.7807537749343204E-2</v>
      </c>
      <c r="AK7" s="173">
        <v>4.3767273488220175E-2</v>
      </c>
      <c r="AL7" s="173">
        <v>1.7181683497243139E-2</v>
      </c>
      <c r="AM7" s="173">
        <v>3.4588418062677768E-2</v>
      </c>
      <c r="AN7" s="173">
        <v>5.5135343836078231E-2</v>
      </c>
      <c r="AO7" s="173">
        <v>-2.1948626348020682E-3</v>
      </c>
      <c r="AP7" s="173">
        <v>4.5078505324244261E-2</v>
      </c>
      <c r="AQ7" s="173">
        <v>-1.1612880888066196E-2</v>
      </c>
      <c r="AR7" s="173">
        <v>2.8000604210409799E-2</v>
      </c>
      <c r="AS7" s="173">
        <v>2.7118727158425872E-2</v>
      </c>
      <c r="AT7" s="173">
        <v>-1.0900124787194558E-4</v>
      </c>
      <c r="AU7" s="173">
        <v>-2.2285314730438363E-2</v>
      </c>
      <c r="AV7" s="173">
        <v>1.8202994074288045E-2</v>
      </c>
      <c r="AW7" s="173">
        <v>2.46962770484361E-3</v>
      </c>
      <c r="AX7" s="173">
        <v>7.6282442676424908E-2</v>
      </c>
      <c r="AY7" s="173">
        <v>5.0152418035752273E-2</v>
      </c>
      <c r="AZ7" s="173">
        <v>-2.2493403969532193E-2</v>
      </c>
      <c r="BA7" s="173">
        <v>7.6352855229589048E-3</v>
      </c>
      <c r="BB7" s="173">
        <v>4.6754752588458841E-2</v>
      </c>
      <c r="BC7" s="173">
        <v>-2.7096547391304321E-2</v>
      </c>
    </row>
    <row r="8" spans="1:55">
      <c r="A8" s="174" t="s">
        <v>2051</v>
      </c>
      <c r="B8" s="174">
        <v>-1.1000000000000001E-2</v>
      </c>
      <c r="C8" s="174">
        <v>2.3099999999999999E-2</v>
      </c>
      <c r="D8" s="174">
        <v>6.08E-2</v>
      </c>
      <c r="E8" s="174">
        <v>1.8100000000000002E-2</v>
      </c>
      <c r="F8" s="174">
        <v>2.1400000000000002E-2</v>
      </c>
      <c r="G8" s="174">
        <v>1.3600000000000001E-2</v>
      </c>
      <c r="H8" s="174">
        <v>1.9699999999999999E-2</v>
      </c>
      <c r="I8" s="174">
        <v>1.9799999999999998E-2</v>
      </c>
      <c r="J8" s="174">
        <v>-3.4099999999999998E-2</v>
      </c>
      <c r="K8" s="174">
        <v>4.5499999999999999E-2</v>
      </c>
      <c r="L8" s="174">
        <v>-2.64E-2</v>
      </c>
      <c r="M8" s="174">
        <v>5.5599999999999997E-2</v>
      </c>
      <c r="N8" s="174">
        <v>-4.0599999999999997E-2</v>
      </c>
      <c r="O8" s="174">
        <v>-3.3599999999999998E-2</v>
      </c>
      <c r="P8" s="174">
        <v>6.0999999999999995E-3</v>
      </c>
      <c r="Q8" s="174">
        <v>-1.2E-2</v>
      </c>
      <c r="R8" s="174">
        <v>-1.5600000000000001E-2</v>
      </c>
      <c r="S8" s="174">
        <v>-8.1500000000000003E-2</v>
      </c>
      <c r="T8" s="174">
        <v>7.6399999999999996E-2</v>
      </c>
      <c r="U8" s="174">
        <v>-5.2900000000000003E-2</v>
      </c>
      <c r="V8" s="174">
        <v>-6.5700000000000008E-2</v>
      </c>
      <c r="W8" s="174">
        <v>6.2800000000000009E-2</v>
      </c>
      <c r="X8" s="174">
        <v>6.7500000000000004E-2</v>
      </c>
      <c r="Y8" s="174">
        <v>-3.44E-2</v>
      </c>
      <c r="Z8" s="174">
        <v>6.6699999999999995E-2</v>
      </c>
      <c r="AA8" s="174">
        <v>1.7399999999999999E-2</v>
      </c>
      <c r="AB8" s="174">
        <v>-7.0999999999999995E-3</v>
      </c>
      <c r="AC8" s="174">
        <v>1.9199999999999998E-2</v>
      </c>
      <c r="AD8" s="174">
        <v>-3.1899999999999998E-2</v>
      </c>
      <c r="AE8" s="174">
        <v>2.2499999999999999E-2</v>
      </c>
      <c r="AF8" s="174">
        <v>2.0400000000000001E-2</v>
      </c>
      <c r="AG8" s="174">
        <v>-2.7900000000000001E-2</v>
      </c>
      <c r="AH8" s="174">
        <v>-1.7399999999999999E-2</v>
      </c>
      <c r="AI8" s="174">
        <v>-3.6799999999999999E-2</v>
      </c>
      <c r="AJ8" s="174">
        <v>6.4500000000000002E-2</v>
      </c>
      <c r="AK8" s="174">
        <v>3.7699999999999997E-2</v>
      </c>
      <c r="AL8" s="174">
        <v>1.3899999999999999E-2</v>
      </c>
      <c r="AM8" s="174">
        <v>1.84E-2</v>
      </c>
      <c r="AN8" s="174">
        <v>3.6499999999999998E-2</v>
      </c>
      <c r="AO8" s="174">
        <v>-1.52E-2</v>
      </c>
      <c r="AP8" s="174">
        <v>2.63E-2</v>
      </c>
      <c r="AQ8" s="174">
        <v>-1.3000000000000001E-2</v>
      </c>
      <c r="AR8" s="174">
        <v>1.32E-2</v>
      </c>
      <c r="AS8" s="174">
        <v>1.3300000000000001E-2</v>
      </c>
      <c r="AT8" s="174">
        <v>-4.0999999999999995E-3</v>
      </c>
      <c r="AU8" s="174">
        <v>-3.3500000000000002E-2</v>
      </c>
      <c r="AV8" s="174">
        <v>9.5999999999999992E-3</v>
      </c>
      <c r="AW8" s="174">
        <v>-1.06E-2</v>
      </c>
      <c r="AX8" s="174">
        <v>6.8699999999999997E-2</v>
      </c>
      <c r="AY8" s="174">
        <v>3.27E-2</v>
      </c>
      <c r="AZ8" s="174">
        <v>-4.1799999999999997E-2</v>
      </c>
      <c r="BA8" s="174">
        <v>-1.21E-2</v>
      </c>
      <c r="BB8" s="174">
        <v>4.0199999999999993E-2</v>
      </c>
      <c r="BC8" s="174">
        <v>-1.3300000000000001E-2</v>
      </c>
    </row>
    <row r="9" spans="1:55">
      <c r="A9" s="24" t="s">
        <v>26</v>
      </c>
      <c r="B9" s="24">
        <f>B7-B8</f>
        <v>-1.3850035985704667E-4</v>
      </c>
      <c r="C9" s="24">
        <f>C7-C8</f>
        <v>1.7566454245117543E-2</v>
      </c>
      <c r="D9" s="24">
        <f>D7-D8</f>
        <v>6.9534871039573024E-3</v>
      </c>
      <c r="E9" s="24">
        <f>E7-E8</f>
        <v>-1.0364851794794037E-3</v>
      </c>
      <c r="F9" s="24">
        <f>F7-F8</f>
        <v>9.7304455347599211E-3</v>
      </c>
      <c r="G9" s="24">
        <f>G7-G8</f>
        <v>2.0267076668148004E-3</v>
      </c>
      <c r="H9" s="24">
        <f>H7-H8</f>
        <v>-6.6828163158997294E-3</v>
      </c>
      <c r="I9" s="24">
        <f>I7-I8</f>
        <v>6.5277842080468038E-3</v>
      </c>
      <c r="J9" s="24">
        <f>J7-J8</f>
        <v>1.108401615135331E-2</v>
      </c>
      <c r="K9" s="24">
        <f>K7-K8</f>
        <v>-2.7956885670731013E-4</v>
      </c>
      <c r="L9" s="24">
        <f>L7-L8</f>
        <v>-1.2672635336053867E-2</v>
      </c>
      <c r="M9" s="24">
        <f>M7-M8</f>
        <v>5.4420746752551347E-3</v>
      </c>
      <c r="N9" s="24">
        <f>N7-N8</f>
        <v>3.2062918746330993E-2</v>
      </c>
      <c r="O9" s="24">
        <f>O7-O8</f>
        <v>-2.0436659762711473E-3</v>
      </c>
      <c r="P9" s="24">
        <f>P7-P8</f>
        <v>9.1350911705901268E-3</v>
      </c>
      <c r="Q9" s="58">
        <f>Q7-Q8</f>
        <v>2.0558469108922728E-2</v>
      </c>
      <c r="R9" s="24">
        <f>R7-R8</f>
        <v>4.6693279701619465E-3</v>
      </c>
      <c r="S9" s="24">
        <f>S7-S8</f>
        <v>2.3704354897672308E-3</v>
      </c>
      <c r="T9" s="59">
        <f>T7-T8</f>
        <v>-1.4907271835345286E-2</v>
      </c>
      <c r="U9" s="24">
        <f>U7-U8</f>
        <v>1.8493130577737493E-3</v>
      </c>
      <c r="V9" s="24">
        <f>V7-V8</f>
        <v>1.3467462908715103E-2</v>
      </c>
      <c r="W9" s="24">
        <f>W7-W8</f>
        <v>1.1509711067956258E-2</v>
      </c>
      <c r="X9" s="24">
        <f>X7-X8</f>
        <v>1.0012420057549445E-2</v>
      </c>
      <c r="Y9" s="24">
        <f>Y7-Y8</f>
        <v>7.0596772583537276E-4</v>
      </c>
      <c r="Z9" s="58">
        <f>Z7-Z8</f>
        <v>2.384157066517148E-2</v>
      </c>
      <c r="AA9" s="24">
        <f>AA7-AA8</f>
        <v>3.5330903926766855E-4</v>
      </c>
      <c r="AB9" s="24">
        <f>AB7-AB8</f>
        <v>1.1259259926088273E-2</v>
      </c>
      <c r="AC9" s="24">
        <f>AC7-AC8</f>
        <v>8.4477612390816866E-3</v>
      </c>
      <c r="AD9" s="24">
        <f>AD7-AD8</f>
        <v>1.9954113772593575E-2</v>
      </c>
      <c r="AE9" s="24">
        <f>AE7-AE8</f>
        <v>9.1095846922927409E-3</v>
      </c>
      <c r="AF9" s="24">
        <f>AF7-AF8</f>
        <v>3.2257243651185111E-4</v>
      </c>
      <c r="AG9" s="24">
        <f>AG7-AG8</f>
        <v>8.9076112730841171E-3</v>
      </c>
      <c r="AH9" s="24">
        <f>AH7-AH8</f>
        <v>2.6607729102148953E-3</v>
      </c>
      <c r="AI9" s="24">
        <f>AI7-AI8</f>
        <v>-2.1913610391132432E-3</v>
      </c>
      <c r="AJ9" s="58">
        <f>AJ7-AJ8</f>
        <v>2.3307537749343202E-2</v>
      </c>
      <c r="AK9" s="24">
        <f>AK7-AK8</f>
        <v>6.0672734882201776E-3</v>
      </c>
      <c r="AL9" s="24">
        <f>AL7-AL8</f>
        <v>3.2816834972431395E-3</v>
      </c>
      <c r="AM9" s="24">
        <f>AM7-AM8</f>
        <v>1.6188418062677769E-2</v>
      </c>
      <c r="AN9" s="24">
        <f>AN7-AN8</f>
        <v>1.8635343836078233E-2</v>
      </c>
      <c r="AO9" s="24">
        <f>AO7-AO8</f>
        <v>1.3005137365197931E-2</v>
      </c>
      <c r="AP9" s="24">
        <f>AP7-AP8</f>
        <v>1.8778505324244261E-2</v>
      </c>
      <c r="AQ9" s="24">
        <f>AQ7-AQ8</f>
        <v>1.3871191119338051E-3</v>
      </c>
      <c r="AR9" s="24">
        <f>AR7-AR8</f>
        <v>1.4800604210409799E-2</v>
      </c>
      <c r="AS9" s="24">
        <f>AS7-AS8</f>
        <v>1.3818727158425871E-2</v>
      </c>
      <c r="AT9" s="24">
        <f>AT7-AT8</f>
        <v>3.9909987521280542E-3</v>
      </c>
      <c r="AU9" s="24">
        <f>AU7-AU8</f>
        <v>1.1214685269561639E-2</v>
      </c>
      <c r="AV9" s="24">
        <f>AV7-AV8</f>
        <v>8.6029940742880454E-3</v>
      </c>
      <c r="AW9" s="24">
        <f>AW7-AW8</f>
        <v>1.3069627704843611E-2</v>
      </c>
      <c r="AX9" s="24">
        <f>AX7-AX8</f>
        <v>7.5824426764249109E-3</v>
      </c>
      <c r="AY9" s="24">
        <f>AY7-AY8</f>
        <v>1.7452418035752273E-2</v>
      </c>
      <c r="AZ9" s="58">
        <f>AZ7-AZ8</f>
        <v>1.9306596030467804E-2</v>
      </c>
      <c r="BA9" s="24">
        <f>BA7-BA8</f>
        <v>1.9735285522958904E-2</v>
      </c>
      <c r="BB9" s="24">
        <f>BB7-BB8</f>
        <v>6.5547525884588481E-3</v>
      </c>
      <c r="BC9" s="59">
        <f>BC7-BC8</f>
        <v>-1.379654739130432E-2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2FE6E9-69D7-4279-BD3C-82EB77F3F1F1}">
  <sheetPr>
    <tabColor theme="8" tint="0.39997558519241921"/>
  </sheetPr>
  <dimension ref="A2:S14"/>
  <sheetViews>
    <sheetView workbookViewId="0">
      <selection activeCell="K35" sqref="K35"/>
    </sheetView>
  </sheetViews>
  <sheetFormatPr defaultRowHeight="15"/>
  <cols>
    <col min="1" max="1" width="22.28515625" bestFit="1" customWidth="1"/>
    <col min="2" max="2" width="30.140625" bestFit="1" customWidth="1"/>
    <col min="3" max="3" width="20" customWidth="1"/>
    <col min="4" max="4" width="25.5703125" customWidth="1"/>
    <col min="5" max="5" width="23.140625" customWidth="1"/>
    <col min="7" max="7" width="29.5703125" bestFit="1" customWidth="1"/>
    <col min="8" max="8" width="10.28515625" bestFit="1" customWidth="1"/>
    <col min="9" max="9" width="10.7109375" bestFit="1" customWidth="1"/>
    <col min="10" max="10" width="16.28515625" customWidth="1"/>
    <col min="11" max="11" width="13" customWidth="1"/>
    <col min="12" max="12" width="11.7109375" bestFit="1" customWidth="1"/>
    <col min="13" max="13" width="11.28515625" bestFit="1" customWidth="1"/>
    <col min="14" max="15" width="8.140625" bestFit="1" customWidth="1"/>
    <col min="16" max="16" width="7.140625" bestFit="1" customWidth="1"/>
    <col min="17" max="17" width="6.5703125" bestFit="1" customWidth="1"/>
    <col min="18" max="18" width="7.140625" bestFit="1" customWidth="1"/>
    <col min="19" max="20" width="15.7109375" bestFit="1" customWidth="1"/>
  </cols>
  <sheetData>
    <row r="2" spans="1:19">
      <c r="A2" s="63" t="s">
        <v>5</v>
      </c>
      <c r="B2" s="63" t="s">
        <v>2056</v>
      </c>
      <c r="D2" s="66" t="s">
        <v>5</v>
      </c>
      <c r="E2" s="66" t="s">
        <v>2057</v>
      </c>
      <c r="G2" s="63" t="s">
        <v>2058</v>
      </c>
      <c r="H2" s="63" t="s">
        <v>5</v>
      </c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</row>
    <row r="3" spans="1:19" ht="43.5">
      <c r="A3" t="s">
        <v>115</v>
      </c>
      <c r="B3" s="24">
        <v>2.2322643377455487E-2</v>
      </c>
      <c r="D3" s="61" t="s">
        <v>115</v>
      </c>
      <c r="E3" s="61">
        <v>2</v>
      </c>
      <c r="G3" s="63" t="s">
        <v>2006</v>
      </c>
      <c r="H3" s="63" t="s">
        <v>34</v>
      </c>
      <c r="I3" s="64" t="s">
        <v>48</v>
      </c>
      <c r="J3" s="64" t="s">
        <v>52</v>
      </c>
      <c r="K3" s="64" t="s">
        <v>75</v>
      </c>
      <c r="L3" s="64" t="s">
        <v>59</v>
      </c>
      <c r="M3" s="64" t="s">
        <v>30</v>
      </c>
      <c r="N3" s="64" t="s">
        <v>107</v>
      </c>
      <c r="O3" s="64" t="s">
        <v>115</v>
      </c>
      <c r="P3" s="64" t="s">
        <v>89</v>
      </c>
      <c r="Q3" s="64" t="s">
        <v>123</v>
      </c>
      <c r="R3" s="64" t="s">
        <v>98</v>
      </c>
      <c r="S3" s="65" t="s">
        <v>2059</v>
      </c>
    </row>
    <row r="4" spans="1:19">
      <c r="A4" t="s">
        <v>75</v>
      </c>
      <c r="B4" s="24">
        <v>5.739035873333298E-3</v>
      </c>
      <c r="D4" s="61" t="s">
        <v>75</v>
      </c>
      <c r="E4" s="61">
        <v>4</v>
      </c>
      <c r="G4" t="s">
        <v>2060</v>
      </c>
      <c r="H4">
        <v>12</v>
      </c>
      <c r="I4">
        <v>5</v>
      </c>
      <c r="J4">
        <v>5</v>
      </c>
      <c r="K4">
        <v>3</v>
      </c>
      <c r="L4">
        <v>4</v>
      </c>
      <c r="M4">
        <v>1</v>
      </c>
      <c r="N4">
        <v>2</v>
      </c>
      <c r="O4">
        <v>2</v>
      </c>
      <c r="S4">
        <v>34</v>
      </c>
    </row>
    <row r="5" spans="1:19">
      <c r="A5" t="s">
        <v>52</v>
      </c>
      <c r="B5" s="24">
        <v>5.0471550154784772E-3</v>
      </c>
      <c r="D5" s="61" t="s">
        <v>52</v>
      </c>
      <c r="E5" s="61">
        <v>5</v>
      </c>
      <c r="G5" t="s">
        <v>2061</v>
      </c>
      <c r="H5">
        <v>3</v>
      </c>
      <c r="I5">
        <v>4</v>
      </c>
      <c r="M5">
        <v>2</v>
      </c>
      <c r="P5">
        <v>1</v>
      </c>
      <c r="S5">
        <v>10</v>
      </c>
    </row>
    <row r="6" spans="1:19">
      <c r="A6" t="s">
        <v>98</v>
      </c>
      <c r="B6" s="24">
        <v>-1.0261889580597261E-3</v>
      </c>
      <c r="D6" s="61" t="s">
        <v>98</v>
      </c>
      <c r="E6" s="61">
        <v>1</v>
      </c>
      <c r="G6" t="s">
        <v>2062</v>
      </c>
      <c r="K6">
        <v>1</v>
      </c>
      <c r="P6">
        <v>1</v>
      </c>
      <c r="Q6">
        <v>1</v>
      </c>
      <c r="R6">
        <v>1</v>
      </c>
      <c r="S6">
        <v>4</v>
      </c>
    </row>
    <row r="7" spans="1:19">
      <c r="A7" t="s">
        <v>34</v>
      </c>
      <c r="B7" s="24">
        <v>1.8731145199669851E-2</v>
      </c>
      <c r="D7" s="61" t="s">
        <v>34</v>
      </c>
      <c r="E7" s="61">
        <v>15</v>
      </c>
      <c r="G7" s="63" t="s">
        <v>2059</v>
      </c>
      <c r="H7" s="63">
        <v>15</v>
      </c>
      <c r="I7" s="63">
        <v>9</v>
      </c>
      <c r="J7" s="63">
        <v>5</v>
      </c>
      <c r="K7" s="63">
        <v>4</v>
      </c>
      <c r="L7" s="63">
        <v>4</v>
      </c>
      <c r="M7" s="63">
        <v>3</v>
      </c>
      <c r="N7" s="63">
        <v>2</v>
      </c>
      <c r="O7" s="63">
        <v>2</v>
      </c>
      <c r="P7" s="63">
        <v>2</v>
      </c>
      <c r="Q7" s="63">
        <v>1</v>
      </c>
      <c r="R7" s="63">
        <v>1</v>
      </c>
      <c r="S7" s="63">
        <v>48</v>
      </c>
    </row>
    <row r="8" spans="1:19">
      <c r="A8" t="s">
        <v>59</v>
      </c>
      <c r="B8" s="24">
        <v>1.1865684969600498E-2</v>
      </c>
      <c r="D8" s="61" t="s">
        <v>59</v>
      </c>
      <c r="E8" s="61">
        <v>4</v>
      </c>
    </row>
    <row r="9" spans="1:19">
      <c r="A9" t="s">
        <v>48</v>
      </c>
      <c r="B9" s="24">
        <v>2.6793402704387854E-2</v>
      </c>
      <c r="D9" s="61" t="s">
        <v>48</v>
      </c>
      <c r="E9" s="61">
        <v>9</v>
      </c>
    </row>
    <row r="10" spans="1:19" ht="15" customHeight="1">
      <c r="A10" t="s">
        <v>89</v>
      </c>
      <c r="B10" s="24">
        <v>1.6535661466738072E-2</v>
      </c>
      <c r="D10" s="61" t="s">
        <v>89</v>
      </c>
      <c r="E10" s="61">
        <v>2</v>
      </c>
    </row>
    <row r="11" spans="1:19">
      <c r="A11" t="s">
        <v>123</v>
      </c>
      <c r="B11" s="24">
        <v>-1.3743423611047856E-3</v>
      </c>
      <c r="D11" s="61" t="s">
        <v>123</v>
      </c>
      <c r="E11" s="61">
        <v>1</v>
      </c>
    </row>
    <row r="12" spans="1:19">
      <c r="A12" t="s">
        <v>30</v>
      </c>
      <c r="B12" s="24">
        <v>2.2907470224655151E-2</v>
      </c>
      <c r="D12" s="61" t="s">
        <v>30</v>
      </c>
      <c r="E12" s="61">
        <v>3</v>
      </c>
    </row>
    <row r="13" spans="1:19">
      <c r="A13" t="s">
        <v>107</v>
      </c>
      <c r="B13" s="24">
        <v>9.8855974242155753E-3</v>
      </c>
      <c r="D13" s="61" t="s">
        <v>107</v>
      </c>
      <c r="E13" s="61">
        <v>2</v>
      </c>
    </row>
    <row r="14" spans="1:19">
      <c r="A14" s="63" t="s">
        <v>2059</v>
      </c>
      <c r="B14" s="68">
        <v>1.6282753014068441E-2</v>
      </c>
      <c r="D14" s="67" t="s">
        <v>2063</v>
      </c>
      <c r="E14" s="67">
        <v>48</v>
      </c>
    </row>
  </sheetData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Lentzakis George</dc:creator>
  <cp:keywords/>
  <dc:description/>
  <cp:lastModifiedBy>SOTIRIA PETKIDOU</cp:lastModifiedBy>
  <cp:revision/>
  <dcterms:created xsi:type="dcterms:W3CDTF">2025-05-14T14:08:42Z</dcterms:created>
  <dcterms:modified xsi:type="dcterms:W3CDTF">2025-08-31T09:55:25Z</dcterms:modified>
  <cp:category/>
  <cp:contentStatus/>
</cp:coreProperties>
</file>